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ark\Desktop\MA744-1\"/>
    </mc:Choice>
  </mc:AlternateContent>
  <xr:revisionPtr revIDLastSave="0" documentId="13_ncr:1_{F7956A95-4CE1-42EC-A254-B69D7CBC6F0B}" xr6:coauthVersionLast="47" xr6:coauthVersionMax="47" xr10:uidLastSave="{00000000-0000-0000-0000-000000000000}"/>
  <bookViews>
    <workbookView xWindow="11424" yWindow="0" windowWidth="11712" windowHeight="12336" activeTab="1" xr2:uid="{00000000-000D-0000-FFFF-FFFF00000000}"/>
  </bookViews>
  <sheets>
    <sheet name="案件詳情" sheetId="5" r:id="rId1"/>
    <sheet name="主頁" sheetId="4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3" i="4" l="1"/>
  <c r="L80" i="4"/>
  <c r="F3" i="4"/>
  <c r="F2" i="4"/>
  <c r="F22" i="4"/>
  <c r="K73" i="4" l="1"/>
  <c r="B2" i="5"/>
  <c r="E4" i="4"/>
  <c r="K68" i="4"/>
  <c r="K31" i="4" l="1"/>
  <c r="K43" i="4" l="1"/>
  <c r="E15" i="4" l="1"/>
  <c r="E19" i="4" s="1"/>
  <c r="D4" i="4" l="1"/>
  <c r="D15" i="4" s="1"/>
  <c r="F20" i="4" l="1"/>
  <c r="C4" i="4"/>
  <c r="C15" i="4" s="1"/>
  <c r="B4" i="4"/>
  <c r="B15" i="4" l="1"/>
  <c r="B4" i="5"/>
  <c r="E21" i="4"/>
  <c r="E14" i="4"/>
  <c r="D14" i="4"/>
  <c r="L51" i="4" l="1"/>
  <c r="L59" i="4"/>
  <c r="L67" i="4"/>
  <c r="L53" i="4"/>
  <c r="L52" i="4"/>
  <c r="L60" i="4"/>
  <c r="L61" i="4"/>
  <c r="L54" i="4"/>
  <c r="L62" i="4"/>
  <c r="L64" i="4"/>
  <c r="L58" i="4"/>
  <c r="L55" i="4"/>
  <c r="L63" i="4"/>
  <c r="L56" i="4"/>
  <c r="L57" i="4"/>
  <c r="L65" i="4"/>
  <c r="L66" i="4"/>
  <c r="E16" i="4"/>
  <c r="L50" i="4"/>
  <c r="M53" i="4" l="1"/>
  <c r="N53" i="4" s="1"/>
  <c r="O53" i="4" s="1"/>
  <c r="P53" i="4" s="1"/>
  <c r="Q53" i="4" s="1"/>
  <c r="R53" i="4" s="1"/>
  <c r="S53" i="4" s="1"/>
  <c r="T53" i="4" s="1"/>
  <c r="U53" i="4" s="1"/>
  <c r="V53" i="4" s="1"/>
  <c r="W53" i="4" s="1"/>
  <c r="M60" i="4"/>
  <c r="N60" i="4" s="1"/>
  <c r="O60" i="4" s="1"/>
  <c r="P60" i="4" s="1"/>
  <c r="Q60" i="4" s="1"/>
  <c r="R60" i="4" s="1"/>
  <c r="S60" i="4" s="1"/>
  <c r="T60" i="4" s="1"/>
  <c r="U60" i="4" s="1"/>
  <c r="V60" i="4" s="1"/>
  <c r="W60" i="4" s="1"/>
  <c r="M52" i="4"/>
  <c r="N52" i="4" s="1"/>
  <c r="O52" i="4" s="1"/>
  <c r="P52" i="4" s="1"/>
  <c r="Q52" i="4" s="1"/>
  <c r="R52" i="4" s="1"/>
  <c r="S52" i="4" s="1"/>
  <c r="T52" i="4" s="1"/>
  <c r="U52" i="4" s="1"/>
  <c r="V52" i="4" s="1"/>
  <c r="W52" i="4" s="1"/>
  <c r="M62" i="4"/>
  <c r="N62" i="4" s="1"/>
  <c r="O62" i="4" s="1"/>
  <c r="P62" i="4" s="1"/>
  <c r="Q62" i="4" s="1"/>
  <c r="R62" i="4" s="1"/>
  <c r="S62" i="4" s="1"/>
  <c r="T62" i="4" s="1"/>
  <c r="U62" i="4" s="1"/>
  <c r="V62" i="4" s="1"/>
  <c r="W62" i="4" s="1"/>
  <c r="M56" i="4"/>
  <c r="N56" i="4" s="1"/>
  <c r="O56" i="4" s="1"/>
  <c r="P56" i="4" s="1"/>
  <c r="Q56" i="4" s="1"/>
  <c r="R56" i="4" s="1"/>
  <c r="S56" i="4" s="1"/>
  <c r="T56" i="4" s="1"/>
  <c r="U56" i="4" s="1"/>
  <c r="V56" i="4" s="1"/>
  <c r="W56" i="4" s="1"/>
  <c r="M54" i="4"/>
  <c r="N54" i="4" s="1"/>
  <c r="O54" i="4" s="1"/>
  <c r="P54" i="4" s="1"/>
  <c r="Q54" i="4" s="1"/>
  <c r="R54" i="4" s="1"/>
  <c r="S54" i="4" s="1"/>
  <c r="T54" i="4" s="1"/>
  <c r="U54" i="4" s="1"/>
  <c r="V54" i="4" s="1"/>
  <c r="W54" i="4" s="1"/>
  <c r="M67" i="4"/>
  <c r="N67" i="4" s="1"/>
  <c r="O67" i="4" s="1"/>
  <c r="P67" i="4" s="1"/>
  <c r="Q67" i="4" s="1"/>
  <c r="R67" i="4" s="1"/>
  <c r="S67" i="4" s="1"/>
  <c r="T67" i="4" s="1"/>
  <c r="U67" i="4" s="1"/>
  <c r="V67" i="4" s="1"/>
  <c r="W67" i="4" s="1"/>
  <c r="M55" i="4"/>
  <c r="N55" i="4" s="1"/>
  <c r="O55" i="4" s="1"/>
  <c r="P55" i="4" s="1"/>
  <c r="Q55" i="4" s="1"/>
  <c r="R55" i="4" s="1"/>
  <c r="S55" i="4" s="1"/>
  <c r="T55" i="4" s="1"/>
  <c r="U55" i="4" s="1"/>
  <c r="V55" i="4" s="1"/>
  <c r="W55" i="4" s="1"/>
  <c r="M58" i="4"/>
  <c r="N58" i="4" s="1"/>
  <c r="O58" i="4" s="1"/>
  <c r="P58" i="4" s="1"/>
  <c r="Q58" i="4" s="1"/>
  <c r="R58" i="4" s="1"/>
  <c r="S58" i="4" s="1"/>
  <c r="T58" i="4" s="1"/>
  <c r="U58" i="4" s="1"/>
  <c r="V58" i="4" s="1"/>
  <c r="W58" i="4" s="1"/>
  <c r="M64" i="4"/>
  <c r="N64" i="4" s="1"/>
  <c r="O64" i="4" s="1"/>
  <c r="P64" i="4" s="1"/>
  <c r="Q64" i="4" s="1"/>
  <c r="R64" i="4" s="1"/>
  <c r="S64" i="4" s="1"/>
  <c r="T64" i="4" s="1"/>
  <c r="U64" i="4" s="1"/>
  <c r="V64" i="4" s="1"/>
  <c r="W64" i="4" s="1"/>
  <c r="M61" i="4"/>
  <c r="N61" i="4" s="1"/>
  <c r="O61" i="4" s="1"/>
  <c r="P61" i="4" s="1"/>
  <c r="Q61" i="4" s="1"/>
  <c r="R61" i="4" s="1"/>
  <c r="S61" i="4" s="1"/>
  <c r="T61" i="4" s="1"/>
  <c r="U61" i="4" s="1"/>
  <c r="V61" i="4" s="1"/>
  <c r="W61" i="4" s="1"/>
  <c r="M59" i="4"/>
  <c r="N59" i="4" s="1"/>
  <c r="O59" i="4" s="1"/>
  <c r="P59" i="4" s="1"/>
  <c r="Q59" i="4" s="1"/>
  <c r="R59" i="4" s="1"/>
  <c r="S59" i="4" s="1"/>
  <c r="T59" i="4" s="1"/>
  <c r="U59" i="4" s="1"/>
  <c r="V59" i="4" s="1"/>
  <c r="W59" i="4" s="1"/>
  <c r="M66" i="4"/>
  <c r="N66" i="4" s="1"/>
  <c r="O66" i="4" s="1"/>
  <c r="P66" i="4" s="1"/>
  <c r="Q66" i="4" s="1"/>
  <c r="R66" i="4" s="1"/>
  <c r="S66" i="4" s="1"/>
  <c r="T66" i="4" s="1"/>
  <c r="U66" i="4" s="1"/>
  <c r="V66" i="4" s="1"/>
  <c r="W66" i="4" s="1"/>
  <c r="M65" i="4"/>
  <c r="N65" i="4" s="1"/>
  <c r="O65" i="4" s="1"/>
  <c r="P65" i="4" s="1"/>
  <c r="Q65" i="4" s="1"/>
  <c r="R65" i="4" s="1"/>
  <c r="S65" i="4" s="1"/>
  <c r="T65" i="4" s="1"/>
  <c r="U65" i="4" s="1"/>
  <c r="V65" i="4" s="1"/>
  <c r="W65" i="4" s="1"/>
  <c r="M57" i="4"/>
  <c r="N57" i="4" s="1"/>
  <c r="O57" i="4" s="1"/>
  <c r="P57" i="4" s="1"/>
  <c r="Q57" i="4" s="1"/>
  <c r="R57" i="4" s="1"/>
  <c r="S57" i="4" s="1"/>
  <c r="T57" i="4" s="1"/>
  <c r="U57" i="4" s="1"/>
  <c r="V57" i="4" s="1"/>
  <c r="W57" i="4" s="1"/>
  <c r="M63" i="4"/>
  <c r="N63" i="4" s="1"/>
  <c r="O63" i="4" s="1"/>
  <c r="P63" i="4" s="1"/>
  <c r="Q63" i="4" s="1"/>
  <c r="R63" i="4" s="1"/>
  <c r="S63" i="4" s="1"/>
  <c r="T63" i="4" s="1"/>
  <c r="U63" i="4" s="1"/>
  <c r="V63" i="4" s="1"/>
  <c r="W63" i="4" s="1"/>
  <c r="M51" i="4"/>
  <c r="N51" i="4" s="1"/>
  <c r="O51" i="4" s="1"/>
  <c r="P51" i="4" s="1"/>
  <c r="Q51" i="4" s="1"/>
  <c r="R51" i="4" s="1"/>
  <c r="S51" i="4" s="1"/>
  <c r="T51" i="4" s="1"/>
  <c r="U51" i="4" s="1"/>
  <c r="V51" i="4" s="1"/>
  <c r="W51" i="4" s="1"/>
  <c r="L68" i="4"/>
  <c r="D5" i="4"/>
  <c r="D24" i="4" s="1"/>
  <c r="X54" i="4" l="1"/>
  <c r="Y54" i="4" s="1"/>
  <c r="X67" i="4"/>
  <c r="Y67" i="4" s="1"/>
  <c r="X52" i="4"/>
  <c r="Y52" i="4" s="1"/>
  <c r="X57" i="4"/>
  <c r="Y57" i="4" s="1"/>
  <c r="X65" i="4"/>
  <c r="Y65" i="4" s="1"/>
  <c r="X55" i="4"/>
  <c r="Y55" i="4" s="1"/>
  <c r="X62" i="4"/>
  <c r="Y62" i="4" s="1"/>
  <c r="X60" i="4"/>
  <c r="Y60" i="4" s="1"/>
  <c r="X58" i="4"/>
  <c r="Y58" i="4" s="1"/>
  <c r="X51" i="4"/>
  <c r="Y51" i="4" s="1"/>
  <c r="X56" i="4"/>
  <c r="Y56" i="4" s="1"/>
  <c r="X63" i="4"/>
  <c r="Y63" i="4" s="1"/>
  <c r="X61" i="4"/>
  <c r="Y61" i="4" s="1"/>
  <c r="X66" i="4"/>
  <c r="Y66" i="4" s="1"/>
  <c r="X59" i="4"/>
  <c r="Y59" i="4" s="1"/>
  <c r="X64" i="4"/>
  <c r="Y64" i="4" s="1"/>
  <c r="X53" i="4"/>
  <c r="Y53" i="4" s="1"/>
  <c r="D6" i="4"/>
  <c r="D8" i="4" s="1"/>
  <c r="D9" i="4"/>
  <c r="E5" i="4"/>
  <c r="E24" i="4" l="1"/>
  <c r="E22" i="4"/>
  <c r="D10" i="4"/>
  <c r="E9" i="4"/>
  <c r="E6" i="4"/>
  <c r="E8" i="4" s="1"/>
  <c r="D19" i="4"/>
  <c r="D21" i="4" s="1"/>
  <c r="L43" i="4" s="1"/>
  <c r="D16" i="4"/>
  <c r="C5" i="4"/>
  <c r="C24" i="4" s="1"/>
  <c r="L37" i="4" l="1"/>
  <c r="L38" i="4"/>
  <c r="L41" i="4"/>
  <c r="L42" i="4"/>
  <c r="L39" i="4"/>
  <c r="L40" i="4"/>
  <c r="D22" i="4"/>
  <c r="E10" i="4"/>
  <c r="E23" i="4"/>
  <c r="L69" i="4"/>
  <c r="C6" i="4"/>
  <c r="C8" i="4" s="1"/>
  <c r="A1" i="5"/>
  <c r="D23" i="4" l="1"/>
  <c r="L44" i="4"/>
  <c r="M39" i="4"/>
  <c r="N39" i="4" s="1"/>
  <c r="O39" i="4" s="1"/>
  <c r="P39" i="4" s="1"/>
  <c r="Q39" i="4" s="1"/>
  <c r="R39" i="4" s="1"/>
  <c r="S39" i="4" s="1"/>
  <c r="T39" i="4" s="1"/>
  <c r="U39" i="4" s="1"/>
  <c r="V39" i="4" s="1"/>
  <c r="W39" i="4" s="1"/>
  <c r="M42" i="4"/>
  <c r="N42" i="4" s="1"/>
  <c r="O42" i="4" s="1"/>
  <c r="P42" i="4" s="1"/>
  <c r="Q42" i="4" s="1"/>
  <c r="R42" i="4" s="1"/>
  <c r="S42" i="4" s="1"/>
  <c r="T42" i="4" s="1"/>
  <c r="U42" i="4" s="1"/>
  <c r="V42" i="4" s="1"/>
  <c r="W42" i="4" s="1"/>
  <c r="M41" i="4"/>
  <c r="N41" i="4" s="1"/>
  <c r="O41" i="4" s="1"/>
  <c r="P41" i="4" s="1"/>
  <c r="Q41" i="4" s="1"/>
  <c r="R41" i="4" s="1"/>
  <c r="S41" i="4" s="1"/>
  <c r="T41" i="4" s="1"/>
  <c r="U41" i="4" s="1"/>
  <c r="V41" i="4" s="1"/>
  <c r="W41" i="4" s="1"/>
  <c r="M40" i="4"/>
  <c r="N40" i="4" s="1"/>
  <c r="O40" i="4" s="1"/>
  <c r="P40" i="4" s="1"/>
  <c r="Q40" i="4" s="1"/>
  <c r="R40" i="4" s="1"/>
  <c r="S40" i="4" s="1"/>
  <c r="T40" i="4" s="1"/>
  <c r="U40" i="4" s="1"/>
  <c r="V40" i="4" s="1"/>
  <c r="W40" i="4" s="1"/>
  <c r="M38" i="4"/>
  <c r="N38" i="4" s="1"/>
  <c r="O38" i="4" s="1"/>
  <c r="P38" i="4" s="1"/>
  <c r="Q38" i="4" s="1"/>
  <c r="R38" i="4" s="1"/>
  <c r="S38" i="4" s="1"/>
  <c r="T38" i="4" s="1"/>
  <c r="U38" i="4" s="1"/>
  <c r="V38" i="4" s="1"/>
  <c r="W38" i="4" s="1"/>
  <c r="M37" i="4"/>
  <c r="C14" i="4"/>
  <c r="X40" i="4" l="1"/>
  <c r="Y40" i="4" s="1"/>
  <c r="X41" i="4"/>
  <c r="Y41" i="4" s="1"/>
  <c r="X38" i="4"/>
  <c r="Y38" i="4" s="1"/>
  <c r="X39" i="4"/>
  <c r="Y39" i="4" s="1"/>
  <c r="X42" i="4"/>
  <c r="Y42" i="4" s="1"/>
  <c r="M43" i="4"/>
  <c r="C19" i="4"/>
  <c r="C21" i="4" s="1"/>
  <c r="L31" i="4" s="1"/>
  <c r="C16" i="4"/>
  <c r="L30" i="4" l="1"/>
  <c r="C22" i="4"/>
  <c r="L32" i="4" s="1"/>
  <c r="L28" i="4"/>
  <c r="L24" i="4"/>
  <c r="L26" i="4"/>
  <c r="M26" i="4" s="1"/>
  <c r="L27" i="4"/>
  <c r="M27" i="4" s="1"/>
  <c r="L29" i="4"/>
  <c r="L25" i="4"/>
  <c r="L23" i="4"/>
  <c r="N37" i="4"/>
  <c r="N43" i="4" s="1"/>
  <c r="M30" i="4" l="1"/>
  <c r="N30" i="4" s="1"/>
  <c r="O30" i="4" s="1"/>
  <c r="P30" i="4" s="1"/>
  <c r="Q30" i="4" s="1"/>
  <c r="R30" i="4" s="1"/>
  <c r="S30" i="4" s="1"/>
  <c r="T30" i="4" s="1"/>
  <c r="U30" i="4" s="1"/>
  <c r="V30" i="4" s="1"/>
  <c r="W30" i="4" s="1"/>
  <c r="M29" i="4"/>
  <c r="N29" i="4" s="1"/>
  <c r="O29" i="4" s="1"/>
  <c r="P29" i="4" s="1"/>
  <c r="Q29" i="4" s="1"/>
  <c r="R29" i="4" s="1"/>
  <c r="S29" i="4" s="1"/>
  <c r="T29" i="4" s="1"/>
  <c r="U29" i="4" s="1"/>
  <c r="V29" i="4" s="1"/>
  <c r="W29" i="4" s="1"/>
  <c r="M28" i="4"/>
  <c r="N28" i="4" s="1"/>
  <c r="O28" i="4" s="1"/>
  <c r="P28" i="4" s="1"/>
  <c r="Q28" i="4" s="1"/>
  <c r="R28" i="4" s="1"/>
  <c r="S28" i="4" s="1"/>
  <c r="T28" i="4" s="1"/>
  <c r="U28" i="4" s="1"/>
  <c r="V28" i="4" s="1"/>
  <c r="W28" i="4" s="1"/>
  <c r="N26" i="4"/>
  <c r="O26" i="4" s="1"/>
  <c r="P26" i="4" s="1"/>
  <c r="Q26" i="4" s="1"/>
  <c r="R26" i="4" s="1"/>
  <c r="S26" i="4" s="1"/>
  <c r="T26" i="4" s="1"/>
  <c r="U26" i="4" s="1"/>
  <c r="V26" i="4" s="1"/>
  <c r="W26" i="4" s="1"/>
  <c r="N27" i="4"/>
  <c r="O27" i="4" s="1"/>
  <c r="P27" i="4" s="1"/>
  <c r="Q27" i="4" s="1"/>
  <c r="R27" i="4" s="1"/>
  <c r="S27" i="4" s="1"/>
  <c r="T27" i="4" s="1"/>
  <c r="U27" i="4" s="1"/>
  <c r="V27" i="4" s="1"/>
  <c r="W27" i="4" s="1"/>
  <c r="M24" i="4"/>
  <c r="N24" i="4" s="1"/>
  <c r="O24" i="4" s="1"/>
  <c r="P24" i="4" s="1"/>
  <c r="Q24" i="4" s="1"/>
  <c r="R24" i="4" s="1"/>
  <c r="S24" i="4" s="1"/>
  <c r="T24" i="4" s="1"/>
  <c r="U24" i="4" s="1"/>
  <c r="V24" i="4" s="1"/>
  <c r="W24" i="4" s="1"/>
  <c r="M25" i="4"/>
  <c r="N25" i="4" s="1"/>
  <c r="O25" i="4" s="1"/>
  <c r="P25" i="4" s="1"/>
  <c r="Q25" i="4" s="1"/>
  <c r="R25" i="4" s="1"/>
  <c r="S25" i="4" s="1"/>
  <c r="T25" i="4" s="1"/>
  <c r="U25" i="4" s="1"/>
  <c r="V25" i="4" s="1"/>
  <c r="W25" i="4" s="1"/>
  <c r="X25" i="4" s="1"/>
  <c r="Y25" i="4" s="1"/>
  <c r="C23" i="4"/>
  <c r="O37" i="4"/>
  <c r="O43" i="4" s="1"/>
  <c r="C9" i="4"/>
  <c r="X30" i="4" l="1"/>
  <c r="Y30" i="4" s="1"/>
  <c r="X24" i="4"/>
  <c r="Y24" i="4" s="1"/>
  <c r="X28" i="4"/>
  <c r="Y28" i="4" s="1"/>
  <c r="X26" i="4"/>
  <c r="Y26" i="4" s="1"/>
  <c r="X27" i="4"/>
  <c r="Y27" i="4" s="1"/>
  <c r="X29" i="4"/>
  <c r="Y29" i="4" s="1"/>
  <c r="P37" i="4"/>
  <c r="P43" i="4" s="1"/>
  <c r="C10" i="4"/>
  <c r="Q37" i="4" l="1"/>
  <c r="Q43" i="4" s="1"/>
  <c r="R37" i="4" l="1"/>
  <c r="R43" i="4" s="1"/>
  <c r="S37" i="4" l="1"/>
  <c r="S43" i="4" s="1"/>
  <c r="K17" i="4"/>
  <c r="B19" i="4"/>
  <c r="B21" i="4" s="1"/>
  <c r="B14" i="4"/>
  <c r="L11" i="4" l="1"/>
  <c r="L4" i="4"/>
  <c r="L12" i="4"/>
  <c r="L5" i="4"/>
  <c r="L13" i="4"/>
  <c r="L6" i="4"/>
  <c r="L14" i="4"/>
  <c r="L7" i="4"/>
  <c r="L15" i="4"/>
  <c r="L8" i="4"/>
  <c r="L16" i="4"/>
  <c r="L9" i="4"/>
  <c r="L10" i="4"/>
  <c r="L17" i="4"/>
  <c r="L73" i="4" s="1"/>
  <c r="B5" i="4"/>
  <c r="K81" i="4"/>
  <c r="T37" i="4"/>
  <c r="T43" i="4" s="1"/>
  <c r="L3" i="4"/>
  <c r="B16" i="4"/>
  <c r="B3" i="5" s="1"/>
  <c r="M7" i="4" l="1"/>
  <c r="N7" i="4" s="1"/>
  <c r="O7" i="4" s="1"/>
  <c r="P7" i="4" s="1"/>
  <c r="Q7" i="4" s="1"/>
  <c r="R7" i="4" s="1"/>
  <c r="S7" i="4" s="1"/>
  <c r="T7" i="4" s="1"/>
  <c r="U7" i="4" s="1"/>
  <c r="V7" i="4" s="1"/>
  <c r="W7" i="4" s="1"/>
  <c r="M6" i="4"/>
  <c r="N6" i="4" s="1"/>
  <c r="O6" i="4" s="1"/>
  <c r="P6" i="4" s="1"/>
  <c r="Q6" i="4" s="1"/>
  <c r="R6" i="4" s="1"/>
  <c r="S6" i="4" s="1"/>
  <c r="T6" i="4" s="1"/>
  <c r="U6" i="4" s="1"/>
  <c r="V6" i="4" s="1"/>
  <c r="W6" i="4" s="1"/>
  <c r="M13" i="4"/>
  <c r="N13" i="4" s="1"/>
  <c r="O13" i="4" s="1"/>
  <c r="P13" i="4" s="1"/>
  <c r="Q13" i="4" s="1"/>
  <c r="R13" i="4" s="1"/>
  <c r="S13" i="4" s="1"/>
  <c r="T13" i="4" s="1"/>
  <c r="U13" i="4" s="1"/>
  <c r="V13" i="4" s="1"/>
  <c r="W13" i="4" s="1"/>
  <c r="M9" i="4"/>
  <c r="N9" i="4" s="1"/>
  <c r="O9" i="4" s="1"/>
  <c r="P9" i="4" s="1"/>
  <c r="Q9" i="4" s="1"/>
  <c r="R9" i="4" s="1"/>
  <c r="S9" i="4" s="1"/>
  <c r="T9" i="4" s="1"/>
  <c r="U9" i="4" s="1"/>
  <c r="V9" i="4" s="1"/>
  <c r="W9" i="4" s="1"/>
  <c r="M5" i="4"/>
  <c r="N5" i="4" s="1"/>
  <c r="O5" i="4" s="1"/>
  <c r="P5" i="4" s="1"/>
  <c r="Q5" i="4" s="1"/>
  <c r="R5" i="4" s="1"/>
  <c r="S5" i="4" s="1"/>
  <c r="T5" i="4" s="1"/>
  <c r="U5" i="4" s="1"/>
  <c r="V5" i="4" s="1"/>
  <c r="W5" i="4" s="1"/>
  <c r="M14" i="4"/>
  <c r="N14" i="4" s="1"/>
  <c r="O14" i="4" s="1"/>
  <c r="P14" i="4" s="1"/>
  <c r="Q14" i="4" s="1"/>
  <c r="R14" i="4" s="1"/>
  <c r="S14" i="4" s="1"/>
  <c r="T14" i="4" s="1"/>
  <c r="U14" i="4" s="1"/>
  <c r="V14" i="4" s="1"/>
  <c r="W14" i="4" s="1"/>
  <c r="M16" i="4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M12" i="4"/>
  <c r="N12" i="4" s="1"/>
  <c r="O12" i="4" s="1"/>
  <c r="P12" i="4" s="1"/>
  <c r="Q12" i="4" s="1"/>
  <c r="R12" i="4" s="1"/>
  <c r="S12" i="4" s="1"/>
  <c r="T12" i="4" s="1"/>
  <c r="U12" i="4" s="1"/>
  <c r="V12" i="4" s="1"/>
  <c r="W12" i="4" s="1"/>
  <c r="M10" i="4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M8" i="4"/>
  <c r="N8" i="4" s="1"/>
  <c r="O8" i="4" s="1"/>
  <c r="P8" i="4" s="1"/>
  <c r="Q8" i="4" s="1"/>
  <c r="R8" i="4" s="1"/>
  <c r="S8" i="4" s="1"/>
  <c r="T8" i="4" s="1"/>
  <c r="U8" i="4" s="1"/>
  <c r="V8" i="4" s="1"/>
  <c r="W8" i="4" s="1"/>
  <c r="M4" i="4"/>
  <c r="N4" i="4" s="1"/>
  <c r="O4" i="4" s="1"/>
  <c r="P4" i="4" s="1"/>
  <c r="Q4" i="4" s="1"/>
  <c r="R4" i="4" s="1"/>
  <c r="S4" i="4" s="1"/>
  <c r="T4" i="4" s="1"/>
  <c r="U4" i="4" s="1"/>
  <c r="V4" i="4" s="1"/>
  <c r="W4" i="4" s="1"/>
  <c r="M15" i="4"/>
  <c r="N15" i="4" s="1"/>
  <c r="O15" i="4" s="1"/>
  <c r="P15" i="4" s="1"/>
  <c r="Q15" i="4" s="1"/>
  <c r="R15" i="4" s="1"/>
  <c r="S15" i="4" s="1"/>
  <c r="T15" i="4" s="1"/>
  <c r="U15" i="4" s="1"/>
  <c r="V15" i="4" s="1"/>
  <c r="W15" i="4" s="1"/>
  <c r="M11" i="4"/>
  <c r="N11" i="4" s="1"/>
  <c r="O11" i="4" s="1"/>
  <c r="P11" i="4" s="1"/>
  <c r="Q11" i="4" s="1"/>
  <c r="R11" i="4" s="1"/>
  <c r="S11" i="4" s="1"/>
  <c r="T11" i="4" s="1"/>
  <c r="U11" i="4" s="1"/>
  <c r="V11" i="4" s="1"/>
  <c r="W11" i="4" s="1"/>
  <c r="B24" i="4"/>
  <c r="F24" i="4" s="1"/>
  <c r="B22" i="4"/>
  <c r="L81" i="4"/>
  <c r="F5" i="4"/>
  <c r="F9" i="4" s="1"/>
  <c r="U37" i="4"/>
  <c r="U43" i="4" s="1"/>
  <c r="M50" i="4"/>
  <c r="M68" i="4" s="1"/>
  <c r="M3" i="4"/>
  <c r="M23" i="4"/>
  <c r="M31" i="4" s="1"/>
  <c r="B6" i="4"/>
  <c r="F6" i="4" s="1"/>
  <c r="B9" i="4"/>
  <c r="N3" i="4" l="1"/>
  <c r="O3" i="4" s="1"/>
  <c r="P3" i="4" s="1"/>
  <c r="Q3" i="4" s="1"/>
  <c r="R3" i="4" s="1"/>
  <c r="S3" i="4" s="1"/>
  <c r="T3" i="4" s="1"/>
  <c r="U3" i="4" s="1"/>
  <c r="V3" i="4" s="1"/>
  <c r="W3" i="4" s="1"/>
  <c r="M17" i="4"/>
  <c r="M73" i="4" s="1"/>
  <c r="M80" i="4"/>
  <c r="K80" i="4"/>
  <c r="X16" i="4"/>
  <c r="Y16" i="4" s="1"/>
  <c r="X11" i="4"/>
  <c r="Y11" i="4" s="1"/>
  <c r="X8" i="4"/>
  <c r="Y8" i="4" s="1"/>
  <c r="X6" i="4"/>
  <c r="Y6" i="4" s="1"/>
  <c r="X4" i="4"/>
  <c r="Y4" i="4" s="1"/>
  <c r="X5" i="4"/>
  <c r="Y5" i="4" s="1"/>
  <c r="X14" i="4"/>
  <c r="Y14" i="4" s="1"/>
  <c r="X10" i="4"/>
  <c r="Y10" i="4" s="1"/>
  <c r="X13" i="4"/>
  <c r="Y13" i="4" s="1"/>
  <c r="X15" i="4"/>
  <c r="Y15" i="4" s="1"/>
  <c r="X9" i="4"/>
  <c r="Y9" i="4" s="1"/>
  <c r="X7" i="4"/>
  <c r="Y7" i="4" s="1"/>
  <c r="X12" i="4"/>
  <c r="Y12" i="4" s="1"/>
  <c r="L18" i="4"/>
  <c r="N50" i="4"/>
  <c r="N68" i="4" s="1"/>
  <c r="V37" i="4"/>
  <c r="V43" i="4" s="1"/>
  <c r="X3" i="4"/>
  <c r="Y3" i="4" s="1"/>
  <c r="N23" i="4"/>
  <c r="N31" i="4" s="1"/>
  <c r="B23" i="4"/>
  <c r="B8" i="4"/>
  <c r="Y17" i="4" l="1"/>
  <c r="B10" i="4"/>
  <c r="F8" i="4"/>
  <c r="F10" i="4" s="1"/>
  <c r="M81" i="4"/>
  <c r="M83" i="4" s="1"/>
  <c r="K82" i="4"/>
  <c r="N80" i="4"/>
  <c r="O80" i="4" s="1"/>
  <c r="P80" i="4" s="1"/>
  <c r="Q80" i="4" s="1"/>
  <c r="R80" i="4" s="1"/>
  <c r="S80" i="4" s="1"/>
  <c r="T80" i="4" s="1"/>
  <c r="U80" i="4" s="1"/>
  <c r="V80" i="4" s="1"/>
  <c r="W80" i="4" s="1"/>
  <c r="X80" i="4" s="1"/>
  <c r="W37" i="4"/>
  <c r="O50" i="4"/>
  <c r="O68" i="4" s="1"/>
  <c r="O23" i="4"/>
  <c r="O31" i="4" s="1"/>
  <c r="N17" i="4"/>
  <c r="L78" i="4" l="1"/>
  <c r="X37" i="4"/>
  <c r="X43" i="4" s="1"/>
  <c r="W43" i="4"/>
  <c r="Y80" i="4"/>
  <c r="Y84" i="4" s="1"/>
  <c r="N73" i="4"/>
  <c r="N81" i="4" s="1"/>
  <c r="N83" i="4" s="1"/>
  <c r="P50" i="4"/>
  <c r="P68" i="4" s="1"/>
  <c r="P23" i="4"/>
  <c r="P31" i="4" s="1"/>
  <c r="O17" i="4"/>
  <c r="Y37" i="4" l="1"/>
  <c r="Y43" i="4" s="1"/>
  <c r="O73" i="4"/>
  <c r="O81" i="4" s="1"/>
  <c r="O83" i="4" s="1"/>
  <c r="Q50" i="4"/>
  <c r="Q68" i="4" s="1"/>
  <c r="Q23" i="4"/>
  <c r="Q31" i="4" s="1"/>
  <c r="M82" i="4"/>
  <c r="N82" i="4"/>
  <c r="N88" i="4" s="1"/>
  <c r="N89" i="4" s="1"/>
  <c r="P17" i="4"/>
  <c r="P73" i="4" l="1"/>
  <c r="P81" i="4" s="1"/>
  <c r="R50" i="4"/>
  <c r="R68" i="4" s="1"/>
  <c r="R23" i="4"/>
  <c r="R31" i="4" s="1"/>
  <c r="M88" i="4"/>
  <c r="M89" i="4" s="1"/>
  <c r="Q17" i="4"/>
  <c r="Q73" i="4" l="1"/>
  <c r="Q81" i="4" s="1"/>
  <c r="S50" i="4"/>
  <c r="S68" i="4" s="1"/>
  <c r="S23" i="4"/>
  <c r="S31" i="4" s="1"/>
  <c r="P83" i="4"/>
  <c r="P82" i="4" s="1"/>
  <c r="P88" i="4" s="1"/>
  <c r="P89" i="4" s="1"/>
  <c r="O82" i="4"/>
  <c r="R17" i="4"/>
  <c r="R73" i="4" l="1"/>
  <c r="R81" i="4" s="1"/>
  <c r="T50" i="4"/>
  <c r="T68" i="4" s="1"/>
  <c r="T23" i="4"/>
  <c r="T31" i="4" s="1"/>
  <c r="O88" i="4"/>
  <c r="O89" i="4" s="1"/>
  <c r="Q83" i="4"/>
  <c r="S17" i="4"/>
  <c r="S73" i="4" l="1"/>
  <c r="S81" i="4" s="1"/>
  <c r="U50" i="4"/>
  <c r="U68" i="4" s="1"/>
  <c r="U23" i="4"/>
  <c r="U31" i="4" s="1"/>
  <c r="Q82" i="4"/>
  <c r="R83" i="4"/>
  <c r="R82" i="4" s="1"/>
  <c r="R88" i="4" s="1"/>
  <c r="R89" i="4" s="1"/>
  <c r="T17" i="4"/>
  <c r="T73" i="4" l="1"/>
  <c r="T81" i="4" s="1"/>
  <c r="V50" i="4"/>
  <c r="V68" i="4" s="1"/>
  <c r="V23" i="4"/>
  <c r="V31" i="4" s="1"/>
  <c r="S83" i="4"/>
  <c r="S82" i="4" s="1"/>
  <c r="S88" i="4" s="1"/>
  <c r="S89" i="4" s="1"/>
  <c r="Q88" i="4"/>
  <c r="Q89" i="4" s="1"/>
  <c r="U17" i="4"/>
  <c r="U73" i="4" l="1"/>
  <c r="U81" i="4" s="1"/>
  <c r="W50" i="4"/>
  <c r="W68" i="4" s="1"/>
  <c r="W23" i="4"/>
  <c r="W31" i="4" s="1"/>
  <c r="T83" i="4"/>
  <c r="T82" i="4" s="1"/>
  <c r="V17" i="4"/>
  <c r="V73" i="4" l="1"/>
  <c r="V81" i="4" s="1"/>
  <c r="X50" i="4"/>
  <c r="X68" i="4" s="1"/>
  <c r="X23" i="4"/>
  <c r="X31" i="4" s="1"/>
  <c r="U83" i="4"/>
  <c r="T88" i="4"/>
  <c r="T89" i="4" s="1"/>
  <c r="W17" i="4"/>
  <c r="W73" i="4" l="1"/>
  <c r="W81" i="4" s="1"/>
  <c r="Y50" i="4"/>
  <c r="Y68" i="4" s="1"/>
  <c r="Y23" i="4"/>
  <c r="Y31" i="4" s="1"/>
  <c r="Y73" i="4" s="1"/>
  <c r="V83" i="4"/>
  <c r="V82" i="4" s="1"/>
  <c r="V88" i="4" s="1"/>
  <c r="V89" i="4" s="1"/>
  <c r="U82" i="4"/>
  <c r="X17" i="4"/>
  <c r="X73" i="4" s="1"/>
  <c r="Y81" i="4" l="1"/>
  <c r="Y85" i="4" s="1"/>
  <c r="X81" i="4"/>
  <c r="U88" i="4"/>
  <c r="U89" i="4" s="1"/>
  <c r="W83" i="4"/>
  <c r="X83" i="4" l="1"/>
  <c r="W82" i="4"/>
  <c r="L83" i="4" l="1"/>
  <c r="X82" i="4"/>
  <c r="L82" i="4" s="1"/>
  <c r="Y86" i="4"/>
  <c r="W88" i="4"/>
  <c r="W89" i="4" s="1"/>
  <c r="Y87" i="4" l="1"/>
  <c r="X88" i="4"/>
  <c r="X89" i="4" s="1"/>
</calcChain>
</file>

<file path=xl/sharedStrings.xml><?xml version="1.0" encoding="utf-8"?>
<sst xmlns="http://schemas.openxmlformats.org/spreadsheetml/2006/main" count="310" uniqueCount="159">
  <si>
    <t>利息</t>
    <phoneticPr fontId="3" type="noConversion"/>
  </si>
  <si>
    <t>利息+本金</t>
    <phoneticPr fontId="3" type="noConversion"/>
  </si>
  <si>
    <t>借據上債權金額</t>
    <phoneticPr fontId="3" type="noConversion"/>
  </si>
  <si>
    <t>會員代號</t>
    <phoneticPr fontId="3" type="noConversion"/>
  </si>
  <si>
    <t>會員</t>
    <phoneticPr fontId="3" type="noConversion"/>
  </si>
  <si>
    <t>投資金額</t>
    <phoneticPr fontId="3" type="noConversion"/>
  </si>
  <si>
    <t>整期支付金額</t>
    <phoneticPr fontId="3" type="noConversion"/>
  </si>
  <si>
    <t>出售債權總價格</t>
    <phoneticPr fontId="3" type="noConversion"/>
  </si>
  <si>
    <t>債權到期總金額</t>
    <phoneticPr fontId="3" type="noConversion"/>
  </si>
  <si>
    <t>實際出售債權金額</t>
    <phoneticPr fontId="3" type="noConversion"/>
  </si>
  <si>
    <t>出售債權成本</t>
    <phoneticPr fontId="3" type="noConversion"/>
  </si>
  <si>
    <t>年利率</t>
    <phoneticPr fontId="3" type="noConversion"/>
  </si>
  <si>
    <r>
      <t>屬於債權人-連薔</t>
    </r>
    <r>
      <rPr>
        <sz val="12"/>
        <color rgb="FFFF0000"/>
        <rFont val="新細明體"/>
        <family val="1"/>
        <charset val="136"/>
        <scheme val="minor"/>
      </rPr>
      <t>N1</t>
    </r>
    <phoneticPr fontId="3" type="noConversion"/>
  </si>
  <si>
    <r>
      <t>利息--屬於投資人</t>
    </r>
    <r>
      <rPr>
        <sz val="12"/>
        <color theme="1"/>
        <rFont val="Times New Roman"/>
        <family val="1"/>
      </rPr>
      <t/>
    </r>
    <phoneticPr fontId="3" type="noConversion"/>
  </si>
  <si>
    <t>利息分配</t>
    <phoneticPr fontId="3" type="noConversion"/>
  </si>
  <si>
    <t>N1:自行申報-財産交易所得-日昇金服務費會抵消，故不用報</t>
    <phoneticPr fontId="3" type="noConversion"/>
  </si>
  <si>
    <t>減：日昇金服務費</t>
    <phoneticPr fontId="3" type="noConversion"/>
  </si>
  <si>
    <t>實際支付投資人總金額</t>
    <phoneticPr fontId="3" type="noConversion"/>
  </si>
  <si>
    <t>分攤至實際投資人</t>
    <phoneticPr fontId="3" type="noConversion"/>
  </si>
  <si>
    <t>check</t>
    <phoneticPr fontId="3" type="noConversion"/>
  </si>
  <si>
    <t>借款金額</t>
    <phoneticPr fontId="3" type="noConversion"/>
  </si>
  <si>
    <t>幸福久久窩</t>
    <phoneticPr fontId="3" type="noConversion"/>
  </si>
  <si>
    <t>投資人</t>
    <phoneticPr fontId="3" type="noConversion"/>
  </si>
  <si>
    <t>日昇金服務費-受託人</t>
    <phoneticPr fontId="3" type="noConversion"/>
  </si>
  <si>
    <t>減：金流費用(銷售金額*0.7%)</t>
    <phoneticPr fontId="3" type="noConversion"/>
  </si>
  <si>
    <t>入帳金額</t>
    <phoneticPr fontId="3" type="noConversion"/>
  </si>
  <si>
    <t>出帳金額</t>
    <phoneticPr fontId="3" type="noConversion"/>
  </si>
  <si>
    <t>匯日昇金戶頭</t>
    <phoneticPr fontId="3" type="noConversion"/>
  </si>
  <si>
    <t>留存戶頭內</t>
    <phoneticPr fontId="3" type="noConversion"/>
  </si>
  <si>
    <t>債權人處分財產所得</t>
    <phoneticPr fontId="3" type="noConversion"/>
  </si>
  <si>
    <t>匯投資人及債權人戶頭</t>
    <phoneticPr fontId="3" type="noConversion"/>
  </si>
  <si>
    <t>本金屬投資人及債權人留存戶頭</t>
    <phoneticPr fontId="3" type="noConversion"/>
  </si>
  <si>
    <t>債權人出售淨金額-日昇金開立服務費發票給債權人</t>
    <phoneticPr fontId="3" type="noConversion"/>
  </si>
  <si>
    <t>實際服務費</t>
    <phoneticPr fontId="3" type="noConversion"/>
  </si>
  <si>
    <t>本金：</t>
  </si>
  <si>
    <t>銷售債權：</t>
  </si>
  <si>
    <t>銷售狀況：</t>
  </si>
  <si>
    <t>借款人：</t>
  </si>
  <si>
    <t>檔案寄送原由：</t>
  </si>
  <si>
    <t>單位(每單位1萬元)</t>
    <phoneticPr fontId="3" type="noConversion"/>
  </si>
  <si>
    <t>直除利率</t>
    <phoneticPr fontId="3" type="noConversion"/>
  </si>
  <si>
    <t>利息：</t>
    <phoneticPr fontId="3" type="noConversion"/>
  </si>
  <si>
    <t>債權價值：</t>
    <phoneticPr fontId="3" type="noConversion"/>
  </si>
  <si>
    <t>元</t>
    <phoneticPr fontId="3" type="noConversion"/>
  </si>
  <si>
    <t>元</t>
    <phoneticPr fontId="3" type="noConversion"/>
  </si>
  <si>
    <t>11期留存戶頭金額</t>
    <phoneticPr fontId="3" type="noConversion"/>
  </si>
  <si>
    <t>第1+2+3+4期</t>
    <phoneticPr fontId="3" type="noConversion"/>
  </si>
  <si>
    <t>FBLM001239</t>
  </si>
  <si>
    <t>LM002092</t>
  </si>
  <si>
    <t>LM001149</t>
  </si>
  <si>
    <t>王品傑</t>
  </si>
  <si>
    <t>陳美琪</t>
  </si>
  <si>
    <t>陳致宏</t>
  </si>
  <si>
    <t>LM000114</t>
  </si>
  <si>
    <t>黃哲宏</t>
  </si>
  <si>
    <t>第1+2+3+4期利息</t>
    <phoneticPr fontId="3" type="noConversion"/>
  </si>
  <si>
    <t>LM004377</t>
  </si>
  <si>
    <t>何彤芬</t>
  </si>
  <si>
    <t>LM001099</t>
  </si>
  <si>
    <t>李允玄</t>
  </si>
  <si>
    <t>LM003035</t>
  </si>
  <si>
    <t>李育師</t>
  </si>
  <si>
    <t>LM004392</t>
  </si>
  <si>
    <t>周有容</t>
  </si>
  <si>
    <t>LM002714</t>
  </si>
  <si>
    <t>林昇德</t>
  </si>
  <si>
    <t>LM002154</t>
  </si>
  <si>
    <t>姜聖昌</t>
  </si>
  <si>
    <t>LM004492</t>
  </si>
  <si>
    <t>柯淑芬</t>
  </si>
  <si>
    <t>LM004027</t>
  </si>
  <si>
    <t>陳慕凡</t>
  </si>
  <si>
    <t>LM004094</t>
  </si>
  <si>
    <t>游璉珠</t>
  </si>
  <si>
    <t>LM000230</t>
  </si>
  <si>
    <t>葉人豪</t>
  </si>
  <si>
    <t>LM001672</t>
  </si>
  <si>
    <t>董雪惠</t>
  </si>
  <si>
    <t>LM004637</t>
  </si>
  <si>
    <t>劉嘉財</t>
  </si>
  <si>
    <t>LM003011</t>
  </si>
  <si>
    <t>鄭弘彬</t>
  </si>
  <si>
    <t>LM003836</t>
  </si>
  <si>
    <t>呂羣芳</t>
  </si>
  <si>
    <t>LM001854</t>
  </si>
  <si>
    <t>范玉峰</t>
  </si>
  <si>
    <t>LM000848</t>
  </si>
  <si>
    <t>黃昭仁</t>
  </si>
  <si>
    <t>LM003214</t>
  </si>
  <si>
    <t>楊謹瑜</t>
  </si>
  <si>
    <t>LM001450</t>
  </si>
  <si>
    <t>劉文榮</t>
  </si>
  <si>
    <t>LM000990</t>
  </si>
  <si>
    <t>謝孟哲</t>
  </si>
  <si>
    <t>LM004518</t>
  </si>
  <si>
    <t>蘇馥盈</t>
  </si>
  <si>
    <t>LM003587</t>
  </si>
  <si>
    <t>韓家貞</t>
  </si>
  <si>
    <t>LM004127</t>
  </si>
  <si>
    <t>吳美瑤</t>
  </si>
  <si>
    <t>LM004322</t>
  </si>
  <si>
    <t>張朝淵</t>
  </si>
  <si>
    <t>LM004581</t>
  </si>
  <si>
    <t>曾榮貴</t>
  </si>
  <si>
    <t>LM004898</t>
  </si>
  <si>
    <t>王晨安</t>
  </si>
  <si>
    <t>LM005096</t>
  </si>
  <si>
    <t>王會賢</t>
  </si>
  <si>
    <t>LM005366</t>
  </si>
  <si>
    <t>江建勝</t>
  </si>
  <si>
    <t>LM001757</t>
  </si>
  <si>
    <t>何浥瑄</t>
  </si>
  <si>
    <t>LM001957</t>
  </si>
  <si>
    <t>李仁田</t>
  </si>
  <si>
    <t>LM003892</t>
  </si>
  <si>
    <t>李奇翰</t>
  </si>
  <si>
    <t>LM004983</t>
  </si>
  <si>
    <t>林上瑜</t>
  </si>
  <si>
    <t>LM005295</t>
  </si>
  <si>
    <t>倪偉城</t>
  </si>
  <si>
    <t>LM005234</t>
  </si>
  <si>
    <t>郭世文</t>
  </si>
  <si>
    <t>LM004634</t>
  </si>
  <si>
    <t>陳怡涓</t>
  </si>
  <si>
    <t>LM004891</t>
  </si>
  <si>
    <t>楊碧雲</t>
  </si>
  <si>
    <t>LM003816</t>
  </si>
  <si>
    <t>劉麗蕙</t>
  </si>
  <si>
    <t>先昱</t>
    <phoneticPr fontId="3" type="noConversion"/>
  </si>
  <si>
    <t>包租公2.0專案-台北市中山區</t>
  </si>
  <si>
    <t>包租公2.0專案-台北市中山區</t>
    <phoneticPr fontId="3" type="noConversion"/>
  </si>
  <si>
    <t>案件編號-包2.0台北市中山區(MA744-1+637-2+576-3+508-3)</t>
    <phoneticPr fontId="3" type="noConversion"/>
  </si>
  <si>
    <t>MA 508-3</t>
    <phoneticPr fontId="3" type="noConversion"/>
  </si>
  <si>
    <t>MA 576-3</t>
    <phoneticPr fontId="3" type="noConversion"/>
  </si>
  <si>
    <t>MA 637-2</t>
    <phoneticPr fontId="3" type="noConversion"/>
  </si>
  <si>
    <t>MA 744-1</t>
    <phoneticPr fontId="3" type="noConversion"/>
  </si>
  <si>
    <t>第1期(MA508-3)</t>
    <phoneticPr fontId="3" type="noConversion"/>
  </si>
  <si>
    <t>2026/02/18</t>
  </si>
  <si>
    <t>2026/03/18</t>
  </si>
  <si>
    <t>2026/04/18</t>
  </si>
  <si>
    <t>2026/05/18</t>
  </si>
  <si>
    <t>2026/06/18</t>
  </si>
  <si>
    <t>2026/07/18</t>
  </si>
  <si>
    <t>2026/08/18</t>
  </si>
  <si>
    <t>2026/09/18</t>
  </si>
  <si>
    <t>2026/10/18</t>
  </si>
  <si>
    <t>2026/11/18</t>
  </si>
  <si>
    <t>2026/12/18</t>
  </si>
  <si>
    <t>2027/01/18</t>
  </si>
  <si>
    <t>第2期(MA576-3)</t>
    <phoneticPr fontId="3" type="noConversion"/>
  </si>
  <si>
    <t>第3期(MA637-2)</t>
    <phoneticPr fontId="3" type="noConversion"/>
  </si>
  <si>
    <t>第4期(MA744-1)</t>
    <phoneticPr fontId="3" type="noConversion"/>
  </si>
  <si>
    <r>
      <t>單位(未完售)</t>
    </r>
    <r>
      <rPr>
        <b/>
        <sz val="12"/>
        <color rgb="FFFF0000"/>
        <rFont val="標楷體"/>
        <family val="4"/>
        <charset val="136"/>
      </rPr>
      <t>(MA508續3售出130單位、MA576續3售出84單位、MA637續2售出51單位、MA744續1售出190單位)</t>
    </r>
    <phoneticPr fontId="3" type="noConversion"/>
  </si>
  <si>
    <t>MA508續3債權確定/終止書</t>
    <phoneticPr fontId="3" type="noConversion"/>
  </si>
  <si>
    <t>MA576續3債權確定/終止書</t>
    <phoneticPr fontId="3" type="noConversion"/>
  </si>
  <si>
    <t>MA637續2債權確定/終止書</t>
    <phoneticPr fontId="3" type="noConversion"/>
  </si>
  <si>
    <t>MA744續1債權確定/終止書</t>
    <phoneticPr fontId="3" type="noConversion"/>
  </si>
  <si>
    <t>投資人投資債權確定證明書核對，本案與投資人約定計息起始
日115年1月19日、本利歸還日116年1月18日，約定年化報酬率6.05%</t>
    <phoneticPr fontId="3" type="noConversion"/>
  </si>
  <si>
    <t>因四捨五入帳務不平，服務費-1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</si>
</sst>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#,##0_);\(#,##0\)"/>
    <numFmt numFmtId="179" formatCode="0.0%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color indexed="8"/>
      <name val="新細明體"/>
      <family val="2"/>
      <scheme val="minor"/>
    </font>
    <font>
      <sz val="12"/>
      <color indexed="8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sz val="11"/>
      <color rgb="FF000000"/>
      <name val="Calibri"/>
      <family val="2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FF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/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applyNumberFormat="1" applyFont="1">
      <alignment vertical="center"/>
    </xf>
    <xf numFmtId="0" fontId="5" fillId="0" borderId="1" xfId="3" applyFont="1" applyBorder="1">
      <alignment vertical="center"/>
    </xf>
    <xf numFmtId="0" fontId="5" fillId="0" borderId="1" xfId="3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178" fontId="6" fillId="0" borderId="0" xfId="1" applyNumberFormat="1" applyFont="1">
      <alignment vertical="center"/>
    </xf>
    <xf numFmtId="0" fontId="6" fillId="0" borderId="0" xfId="3" applyFont="1">
      <alignment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8" fontId="2" fillId="0" borderId="4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9" fontId="2" fillId="0" borderId="0" xfId="0" applyNumberFormat="1" applyFont="1">
      <alignment vertical="center"/>
    </xf>
    <xf numFmtId="10" fontId="2" fillId="0" borderId="0" xfId="2" applyNumberFormat="1" applyFont="1">
      <alignment vertical="center"/>
    </xf>
    <xf numFmtId="178" fontId="2" fillId="0" borderId="0" xfId="1" applyNumberFormat="1" applyFont="1">
      <alignment vertical="center"/>
    </xf>
    <xf numFmtId="178" fontId="0" fillId="0" borderId="0" xfId="0" applyNumberFormat="1" applyAlignment="1">
      <alignment vertical="center" wrapText="1"/>
    </xf>
    <xf numFmtId="178" fontId="2" fillId="0" borderId="2" xfId="0" applyNumberFormat="1" applyFont="1" applyBorder="1">
      <alignment vertical="center"/>
    </xf>
    <xf numFmtId="176" fontId="2" fillId="0" borderId="2" xfId="1" applyNumberFormat="1" applyFont="1" applyBorder="1">
      <alignment vertical="center"/>
    </xf>
    <xf numFmtId="178" fontId="2" fillId="3" borderId="1" xfId="0" applyNumberFormat="1" applyFont="1" applyFill="1" applyBorder="1">
      <alignment vertical="center"/>
    </xf>
    <xf numFmtId="178" fontId="2" fillId="4" borderId="1" xfId="0" applyNumberFormat="1" applyFont="1" applyFill="1" applyBorder="1">
      <alignment vertical="center"/>
    </xf>
    <xf numFmtId="178" fontId="2" fillId="5" borderId="1" xfId="0" applyNumberFormat="1" applyFont="1" applyFill="1" applyBorder="1">
      <alignment vertical="center"/>
    </xf>
    <xf numFmtId="0" fontId="2" fillId="3" borderId="0" xfId="0" applyFont="1" applyFill="1" applyAlignment="1">
      <alignment horizontal="right" vertical="center"/>
    </xf>
    <xf numFmtId="178" fontId="2" fillId="3" borderId="0" xfId="0" applyNumberFormat="1" applyFont="1" applyFill="1">
      <alignment vertical="center"/>
    </xf>
    <xf numFmtId="0" fontId="2" fillId="4" borderId="0" xfId="0" applyFont="1" applyFill="1" applyAlignment="1">
      <alignment horizontal="right" vertical="center"/>
    </xf>
    <xf numFmtId="178" fontId="2" fillId="4" borderId="0" xfId="0" applyNumberFormat="1" applyFont="1" applyFill="1">
      <alignment vertical="center"/>
    </xf>
    <xf numFmtId="0" fontId="2" fillId="5" borderId="0" xfId="0" applyFont="1" applyFill="1" applyAlignment="1">
      <alignment horizontal="right" vertical="center"/>
    </xf>
    <xf numFmtId="178" fontId="2" fillId="5" borderId="0" xfId="0" applyNumberFormat="1" applyFont="1" applyFill="1">
      <alignment vertical="center"/>
    </xf>
    <xf numFmtId="178" fontId="2" fillId="6" borderId="1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7" borderId="1" xfId="0" applyNumberFormat="1" applyFont="1" applyFill="1" applyBorder="1" applyAlignment="1">
      <alignment horizontal="center" vertical="center"/>
    </xf>
    <xf numFmtId="176" fontId="2" fillId="0" borderId="5" xfId="0" applyNumberFormat="1" applyFont="1" applyBorder="1">
      <alignment vertical="center"/>
    </xf>
    <xf numFmtId="178" fontId="2" fillId="3" borderId="5" xfId="0" applyNumberFormat="1" applyFont="1" applyFill="1" applyBorder="1">
      <alignment vertical="center"/>
    </xf>
    <xf numFmtId="178" fontId="2" fillId="0" borderId="5" xfId="0" applyNumberFormat="1" applyFont="1" applyBorder="1">
      <alignment vertical="center"/>
    </xf>
    <xf numFmtId="178" fontId="2" fillId="5" borderId="5" xfId="0" applyNumberFormat="1" applyFont="1" applyFill="1" applyBorder="1">
      <alignment vertical="center"/>
    </xf>
    <xf numFmtId="176" fontId="9" fillId="2" borderId="0" xfId="1" applyNumberFormat="1" applyFont="1" applyFill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6" fontId="9" fillId="0" borderId="0" xfId="1" applyNumberFormat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177" fontId="11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6" fontId="2" fillId="0" borderId="0" xfId="2" applyNumberFormat="1" applyFont="1">
      <alignment vertical="center"/>
    </xf>
    <xf numFmtId="176" fontId="12" fillId="0" borderId="1" xfId="0" applyNumberFormat="1" applyFont="1" applyBorder="1">
      <alignment vertical="center"/>
    </xf>
    <xf numFmtId="0" fontId="8" fillId="0" borderId="0" xfId="0" applyFont="1" applyAlignment="1">
      <alignment horizontal="center" vertical="center" wrapText="1"/>
    </xf>
    <xf numFmtId="179" fontId="9" fillId="2" borderId="0" xfId="0" applyNumberFormat="1" applyFont="1" applyFill="1">
      <alignment vertical="center"/>
    </xf>
    <xf numFmtId="0" fontId="6" fillId="0" borderId="0" xfId="0" applyFont="1">
      <alignment vertical="center"/>
    </xf>
    <xf numFmtId="178" fontId="2" fillId="8" borderId="1" xfId="0" applyNumberFormat="1" applyFont="1" applyFill="1" applyBorder="1">
      <alignment vertical="center"/>
    </xf>
  </cellXfs>
  <cellStyles count="5">
    <cellStyle name="一般" xfId="0" builtinId="0"/>
    <cellStyle name="一般 2" xfId="3" xr:uid="{00000000-0005-0000-0000-000001000000}"/>
    <cellStyle name="一般 3" xfId="4" xr:uid="{6B4CB8FF-87B9-41B0-A1A6-5EB683CA094F}"/>
    <cellStyle name="千分位" xfId="1" builtinId="3"/>
    <cellStyle name="百分比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E237-A4B0-450D-8BEC-55FC6886AB23}">
  <dimension ref="A1:E11"/>
  <sheetViews>
    <sheetView workbookViewId="0">
      <selection activeCell="B1" sqref="B1"/>
    </sheetView>
  </sheetViews>
  <sheetFormatPr defaultRowHeight="16.2" x14ac:dyDescent="0.3"/>
  <cols>
    <col min="1" max="1" width="34.44140625" customWidth="1"/>
    <col min="2" max="2" width="30.44140625" style="39" customWidth="1"/>
    <col min="3" max="3" width="114.77734375" customWidth="1"/>
  </cols>
  <sheetData>
    <row r="1" spans="1:5" x14ac:dyDescent="0.3">
      <c r="A1" s="38" t="str">
        <f>主頁!A$1</f>
        <v>案件編號-包2.0台北市中山區(MA744-1+637-2+576-3+508-3)</v>
      </c>
      <c r="B1" s="40" t="s">
        <v>129</v>
      </c>
      <c r="C1" s="38"/>
      <c r="D1" s="35"/>
      <c r="E1" s="35"/>
    </row>
    <row r="2" spans="1:5" x14ac:dyDescent="0.3">
      <c r="A2" s="36" t="s">
        <v>34</v>
      </c>
      <c r="B2" s="51">
        <f>主頁!B2+主頁!C2+主頁!D2+主頁!E2</f>
        <v>8000000</v>
      </c>
      <c r="C2" s="35" t="s">
        <v>43</v>
      </c>
      <c r="D2" s="35"/>
      <c r="E2" s="35"/>
    </row>
    <row r="3" spans="1:5" x14ac:dyDescent="0.3">
      <c r="A3" s="36" t="s">
        <v>41</v>
      </c>
      <c r="B3" s="51">
        <f>主頁!B16+主頁!C16+主頁!D16+主頁!E16</f>
        <v>599998.99999999988</v>
      </c>
      <c r="C3" s="35" t="s">
        <v>44</v>
      </c>
      <c r="D3" s="35"/>
      <c r="E3" s="35"/>
    </row>
    <row r="4" spans="1:5" x14ac:dyDescent="0.3">
      <c r="A4" s="36" t="s">
        <v>42</v>
      </c>
      <c r="B4" s="51">
        <f>主頁!B4+主頁!C4+主頁!D4+主頁!E4</f>
        <v>8599999</v>
      </c>
      <c r="C4" s="35" t="s">
        <v>44</v>
      </c>
      <c r="D4" s="35"/>
      <c r="E4" s="35"/>
    </row>
    <row r="5" spans="1:5" x14ac:dyDescent="0.3">
      <c r="A5" s="36" t="s">
        <v>35</v>
      </c>
      <c r="B5" s="41">
        <v>810</v>
      </c>
      <c r="C5" s="35" t="s">
        <v>39</v>
      </c>
      <c r="D5" s="35"/>
      <c r="E5" s="35"/>
    </row>
    <row r="6" spans="1:5" x14ac:dyDescent="0.3">
      <c r="A6" s="36" t="s">
        <v>36</v>
      </c>
      <c r="B6" s="41">
        <v>455</v>
      </c>
      <c r="C6" s="35" t="s">
        <v>152</v>
      </c>
      <c r="D6" s="35"/>
      <c r="E6" s="35"/>
    </row>
    <row r="7" spans="1:5" x14ac:dyDescent="0.3">
      <c r="A7" s="36" t="s">
        <v>37</v>
      </c>
      <c r="B7" s="41" t="s">
        <v>128</v>
      </c>
      <c r="C7" s="35" t="s">
        <v>130</v>
      </c>
      <c r="D7" s="35"/>
      <c r="E7" s="35"/>
    </row>
    <row r="8" spans="1:5" ht="35.1" customHeight="1" x14ac:dyDescent="0.3">
      <c r="A8" s="36" t="s">
        <v>38</v>
      </c>
      <c r="B8" s="57" t="s">
        <v>153</v>
      </c>
      <c r="C8" s="37" t="s">
        <v>157</v>
      </c>
      <c r="D8" s="35"/>
      <c r="E8" s="35"/>
    </row>
    <row r="9" spans="1:5" ht="32.4" x14ac:dyDescent="0.3">
      <c r="A9" s="35"/>
      <c r="B9" s="57" t="s">
        <v>154</v>
      </c>
      <c r="C9" s="37" t="s">
        <v>157</v>
      </c>
      <c r="D9" s="35"/>
      <c r="E9" s="35"/>
    </row>
    <row r="10" spans="1:5" ht="32.4" x14ac:dyDescent="0.3">
      <c r="A10" s="35"/>
      <c r="B10" s="57" t="s">
        <v>155</v>
      </c>
      <c r="C10" s="37" t="s">
        <v>157</v>
      </c>
      <c r="D10" s="35"/>
      <c r="E10" s="35"/>
    </row>
    <row r="11" spans="1:5" ht="32.4" x14ac:dyDescent="0.3">
      <c r="B11" s="57" t="s">
        <v>156</v>
      </c>
      <c r="C11" s="37" t="s">
        <v>157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609A4-707A-4B56-9270-88BEF3085746}">
  <dimension ref="A1:Z153"/>
  <sheetViews>
    <sheetView tabSelected="1" topLeftCell="A11" zoomScale="90" zoomScaleNormal="90" workbookViewId="0">
      <selection activeCell="O91" sqref="O91"/>
    </sheetView>
  </sheetViews>
  <sheetFormatPr defaultColWidth="8.88671875" defaultRowHeight="16.2" x14ac:dyDescent="0.3"/>
  <cols>
    <col min="1" max="1" width="50.109375" style="1" customWidth="1"/>
    <col min="2" max="2" width="16.77734375" style="8" customWidth="1"/>
    <col min="3" max="5" width="18.88671875" style="8" customWidth="1"/>
    <col min="6" max="7" width="11.109375" style="8" customWidth="1"/>
    <col min="8" max="8" width="12" style="1" customWidth="1"/>
    <col min="9" max="9" width="14.33203125" style="1" customWidth="1"/>
    <col min="10" max="10" width="14.88671875" style="1" customWidth="1"/>
    <col min="11" max="11" width="11.109375" style="1" customWidth="1"/>
    <col min="12" max="12" width="15.33203125" style="1" customWidth="1"/>
    <col min="13" max="14" width="12.88671875" style="1" customWidth="1"/>
    <col min="15" max="15" width="15.88671875" style="1" customWidth="1"/>
    <col min="16" max="18" width="12.88671875" style="1" customWidth="1"/>
    <col min="19" max="19" width="14.33203125" style="1" customWidth="1"/>
    <col min="20" max="23" width="12.88671875" style="1" customWidth="1"/>
    <col min="24" max="24" width="13.109375" style="1" customWidth="1"/>
    <col min="25" max="25" width="18.33203125" style="1" customWidth="1"/>
    <col min="26" max="26" width="16.109375" style="1" bestFit="1" customWidth="1"/>
    <col min="27" max="27" width="15.77734375" style="1" customWidth="1"/>
    <col min="28" max="16384" width="8.88671875" style="1"/>
  </cols>
  <sheetData>
    <row r="1" spans="1:25" x14ac:dyDescent="0.3">
      <c r="A1" s="50" t="s">
        <v>131</v>
      </c>
      <c r="B1" s="50" t="s">
        <v>132</v>
      </c>
      <c r="C1" s="50" t="s">
        <v>133</v>
      </c>
      <c r="D1" s="50" t="s">
        <v>134</v>
      </c>
      <c r="E1" s="50" t="s">
        <v>135</v>
      </c>
      <c r="F1" s="2"/>
      <c r="G1" s="2"/>
      <c r="I1" s="3" t="s">
        <v>136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1</v>
      </c>
    </row>
    <row r="2" spans="1:25" x14ac:dyDescent="0.3">
      <c r="A2" s="1" t="s">
        <v>2</v>
      </c>
      <c r="B2" s="47">
        <v>1342105</v>
      </c>
      <c r="C2" s="47">
        <v>881188</v>
      </c>
      <c r="D2" s="47">
        <v>3573929</v>
      </c>
      <c r="E2" s="47">
        <v>2202778</v>
      </c>
      <c r="F2" s="4">
        <f>SUM(B2:E2)</f>
        <v>8000000</v>
      </c>
      <c r="G2" s="4"/>
      <c r="I2" s="5" t="s">
        <v>3</v>
      </c>
      <c r="J2" s="5" t="s">
        <v>4</v>
      </c>
      <c r="K2" s="6" t="s">
        <v>5</v>
      </c>
      <c r="L2" s="6" t="s">
        <v>6</v>
      </c>
      <c r="M2" s="42" t="s">
        <v>137</v>
      </c>
      <c r="N2" s="42" t="s">
        <v>138</v>
      </c>
      <c r="O2" s="42" t="s">
        <v>139</v>
      </c>
      <c r="P2" s="42" t="s">
        <v>140</v>
      </c>
      <c r="Q2" s="42" t="s">
        <v>141</v>
      </c>
      <c r="R2" s="42" t="s">
        <v>142</v>
      </c>
      <c r="S2" s="42" t="s">
        <v>143</v>
      </c>
      <c r="T2" s="42" t="s">
        <v>144</v>
      </c>
      <c r="U2" s="42" t="s">
        <v>145</v>
      </c>
      <c r="V2" s="42" t="s">
        <v>146</v>
      </c>
      <c r="W2" s="42" t="s">
        <v>147</v>
      </c>
      <c r="X2" s="42" t="s">
        <v>148</v>
      </c>
      <c r="Y2" s="42" t="s">
        <v>148</v>
      </c>
    </row>
    <row r="3" spans="1:25" x14ac:dyDescent="0.3">
      <c r="A3" s="1" t="s">
        <v>7</v>
      </c>
      <c r="B3" s="47">
        <v>1360000</v>
      </c>
      <c r="C3" s="47">
        <v>890000</v>
      </c>
      <c r="D3" s="47">
        <v>3620000</v>
      </c>
      <c r="E3" s="47">
        <v>2230000</v>
      </c>
      <c r="F3" s="4">
        <f>SUM(B3:E3)</f>
        <v>8100000</v>
      </c>
      <c r="G3" s="4"/>
      <c r="I3" s="48" t="s">
        <v>56</v>
      </c>
      <c r="J3" s="48" t="s">
        <v>57</v>
      </c>
      <c r="K3" s="49">
        <v>60000</v>
      </c>
      <c r="L3" s="7">
        <f>ROUND(K3*B$21/B$3,0)</f>
        <v>3630</v>
      </c>
      <c r="M3" s="7">
        <f>ROUND(L3/12,0)</f>
        <v>303</v>
      </c>
      <c r="N3" s="7">
        <f>M3</f>
        <v>303</v>
      </c>
      <c r="O3" s="7">
        <f t="shared" ref="O3:W16" si="0">N3</f>
        <v>303</v>
      </c>
      <c r="P3" s="7">
        <f t="shared" si="0"/>
        <v>303</v>
      </c>
      <c r="Q3" s="7">
        <f t="shared" si="0"/>
        <v>303</v>
      </c>
      <c r="R3" s="7">
        <f t="shared" si="0"/>
        <v>303</v>
      </c>
      <c r="S3" s="7">
        <f t="shared" si="0"/>
        <v>303</v>
      </c>
      <c r="T3" s="7">
        <f t="shared" si="0"/>
        <v>303</v>
      </c>
      <c r="U3" s="7">
        <f t="shared" si="0"/>
        <v>303</v>
      </c>
      <c r="V3" s="7">
        <f t="shared" si="0"/>
        <v>303</v>
      </c>
      <c r="W3" s="7">
        <f t="shared" si="0"/>
        <v>303</v>
      </c>
      <c r="X3" s="7">
        <f>L3-SUM(M3:W3)</f>
        <v>297</v>
      </c>
      <c r="Y3" s="43">
        <f>SUM(X3,K3)</f>
        <v>60297</v>
      </c>
    </row>
    <row r="4" spans="1:25" x14ac:dyDescent="0.3">
      <c r="A4" s="1" t="s">
        <v>8</v>
      </c>
      <c r="B4" s="4">
        <f>B2+B2*B7/12*12</f>
        <v>1442762.875</v>
      </c>
      <c r="C4" s="4">
        <f>C2+C2*C7/12*12</f>
        <v>947277.1</v>
      </c>
      <c r="D4" s="4">
        <f>D2+D2*D7/12*12</f>
        <v>3841973.6749999998</v>
      </c>
      <c r="E4" s="4">
        <f>E2+E2*E7/12*12-1</f>
        <v>2367985.35</v>
      </c>
      <c r="F4" s="4"/>
      <c r="G4" s="4"/>
      <c r="I4" s="48" t="s">
        <v>58</v>
      </c>
      <c r="J4" s="48" t="s">
        <v>59</v>
      </c>
      <c r="K4" s="49">
        <v>30000</v>
      </c>
      <c r="L4" s="7">
        <f>ROUND(K4*B$21/B$3,0)</f>
        <v>1815</v>
      </c>
      <c r="M4" s="7">
        <f t="shared" ref="M4:M16" si="1">ROUND(L4/12,0)</f>
        <v>151</v>
      </c>
      <c r="N4" s="7">
        <f t="shared" ref="N4:N16" si="2">M4</f>
        <v>151</v>
      </c>
      <c r="O4" s="7">
        <f t="shared" si="0"/>
        <v>151</v>
      </c>
      <c r="P4" s="7">
        <f t="shared" si="0"/>
        <v>151</v>
      </c>
      <c r="Q4" s="7">
        <f t="shared" si="0"/>
        <v>151</v>
      </c>
      <c r="R4" s="7">
        <f t="shared" si="0"/>
        <v>151</v>
      </c>
      <c r="S4" s="7">
        <f t="shared" si="0"/>
        <v>151</v>
      </c>
      <c r="T4" s="7">
        <f t="shared" si="0"/>
        <v>151</v>
      </c>
      <c r="U4" s="7">
        <f t="shared" si="0"/>
        <v>151</v>
      </c>
      <c r="V4" s="7">
        <f t="shared" si="0"/>
        <v>151</v>
      </c>
      <c r="W4" s="7">
        <f t="shared" si="0"/>
        <v>151</v>
      </c>
      <c r="X4" s="7">
        <f t="shared" ref="X4:X16" si="3">L4-SUM(M4:W4)</f>
        <v>154</v>
      </c>
      <c r="Y4" s="43">
        <f t="shared" ref="Y4:Y16" si="4">SUM(X4,K4)</f>
        <v>30154</v>
      </c>
    </row>
    <row r="5" spans="1:25" x14ac:dyDescent="0.3">
      <c r="A5" s="1" t="s">
        <v>9</v>
      </c>
      <c r="B5" s="4">
        <f>K17</f>
        <v>1300000</v>
      </c>
      <c r="C5" s="4">
        <f>K31</f>
        <v>840000</v>
      </c>
      <c r="D5" s="4">
        <f>K43</f>
        <v>510000</v>
      </c>
      <c r="E5" s="4">
        <f>K68</f>
        <v>1900000</v>
      </c>
      <c r="F5" s="4">
        <f>SUM(B5:E5)</f>
        <v>4550000</v>
      </c>
      <c r="G5" s="4"/>
      <c r="I5" s="48" t="s">
        <v>60</v>
      </c>
      <c r="J5" s="48" t="s">
        <v>61</v>
      </c>
      <c r="K5" s="49">
        <v>50000</v>
      </c>
      <c r="L5" s="7">
        <f>ROUND(K5*B$21/B$3,0)</f>
        <v>3025</v>
      </c>
      <c r="M5" s="7">
        <f t="shared" si="1"/>
        <v>252</v>
      </c>
      <c r="N5" s="7">
        <f t="shared" si="2"/>
        <v>252</v>
      </c>
      <c r="O5" s="7">
        <f t="shared" si="0"/>
        <v>252</v>
      </c>
      <c r="P5" s="7">
        <f t="shared" si="0"/>
        <v>252</v>
      </c>
      <c r="Q5" s="7">
        <f t="shared" si="0"/>
        <v>252</v>
      </c>
      <c r="R5" s="7">
        <f t="shared" si="0"/>
        <v>252</v>
      </c>
      <c r="S5" s="7">
        <f t="shared" si="0"/>
        <v>252</v>
      </c>
      <c r="T5" s="7">
        <f t="shared" si="0"/>
        <v>252</v>
      </c>
      <c r="U5" s="7">
        <f t="shared" si="0"/>
        <v>252</v>
      </c>
      <c r="V5" s="7">
        <f t="shared" si="0"/>
        <v>252</v>
      </c>
      <c r="W5" s="7">
        <f t="shared" si="0"/>
        <v>252</v>
      </c>
      <c r="X5" s="7">
        <f t="shared" si="3"/>
        <v>253</v>
      </c>
      <c r="Y5" s="43">
        <f t="shared" si="4"/>
        <v>50253</v>
      </c>
    </row>
    <row r="6" spans="1:25" x14ac:dyDescent="0.3">
      <c r="A6" s="1" t="s">
        <v>10</v>
      </c>
      <c r="B6" s="4">
        <f>ROUND(B2*B5/B3,0)</f>
        <v>1282894</v>
      </c>
      <c r="C6" s="4">
        <f>ROUND(C2*C5/C3,0)</f>
        <v>831683</v>
      </c>
      <c r="D6" s="4">
        <f>ROUND(D2*D5/D3,0)</f>
        <v>503509</v>
      </c>
      <c r="E6" s="4">
        <f>ROUND(E2*E5/E3,0)</f>
        <v>1876806</v>
      </c>
      <c r="F6" s="4">
        <f>SUM(B6:E6)</f>
        <v>4494892</v>
      </c>
      <c r="G6" s="4"/>
      <c r="I6" s="48" t="s">
        <v>62</v>
      </c>
      <c r="J6" s="48" t="s">
        <v>63</v>
      </c>
      <c r="K6" s="49">
        <v>50000</v>
      </c>
      <c r="L6" s="7">
        <f>ROUND(K6*B$21/B$3,0)</f>
        <v>3025</v>
      </c>
      <c r="M6" s="7">
        <f t="shared" si="1"/>
        <v>252</v>
      </c>
      <c r="N6" s="7">
        <f t="shared" si="2"/>
        <v>252</v>
      </c>
      <c r="O6" s="7">
        <f t="shared" si="0"/>
        <v>252</v>
      </c>
      <c r="P6" s="7">
        <f t="shared" si="0"/>
        <v>252</v>
      </c>
      <c r="Q6" s="7">
        <f t="shared" si="0"/>
        <v>252</v>
      </c>
      <c r="R6" s="7">
        <f t="shared" si="0"/>
        <v>252</v>
      </c>
      <c r="S6" s="7">
        <f t="shared" si="0"/>
        <v>252</v>
      </c>
      <c r="T6" s="7">
        <f t="shared" si="0"/>
        <v>252</v>
      </c>
      <c r="U6" s="7">
        <f t="shared" si="0"/>
        <v>252</v>
      </c>
      <c r="V6" s="7">
        <f t="shared" si="0"/>
        <v>252</v>
      </c>
      <c r="W6" s="7">
        <f t="shared" si="0"/>
        <v>252</v>
      </c>
      <c r="X6" s="7">
        <f t="shared" si="3"/>
        <v>253</v>
      </c>
      <c r="Y6" s="43">
        <f t="shared" si="4"/>
        <v>50253</v>
      </c>
    </row>
    <row r="7" spans="1:25" x14ac:dyDescent="0.3">
      <c r="A7" s="1" t="s">
        <v>11</v>
      </c>
      <c r="B7" s="58">
        <v>7.4999999999999997E-2</v>
      </c>
      <c r="C7" s="58">
        <v>7.4999999999999997E-2</v>
      </c>
      <c r="D7" s="58">
        <v>7.4999999999999997E-2</v>
      </c>
      <c r="E7" s="58">
        <v>7.4999999999999997E-2</v>
      </c>
      <c r="F7" s="19"/>
      <c r="G7" s="4"/>
      <c r="I7" s="48" t="s">
        <v>64</v>
      </c>
      <c r="J7" s="48" t="s">
        <v>65</v>
      </c>
      <c r="K7" s="49">
        <v>450000</v>
      </c>
      <c r="L7" s="7">
        <f>ROUND(K7*B$21/B$3,0)</f>
        <v>27225</v>
      </c>
      <c r="M7" s="7">
        <f t="shared" si="1"/>
        <v>2269</v>
      </c>
      <c r="N7" s="7">
        <f t="shared" si="2"/>
        <v>2269</v>
      </c>
      <c r="O7" s="7">
        <f t="shared" si="0"/>
        <v>2269</v>
      </c>
      <c r="P7" s="7">
        <f t="shared" si="0"/>
        <v>2269</v>
      </c>
      <c r="Q7" s="7">
        <f t="shared" si="0"/>
        <v>2269</v>
      </c>
      <c r="R7" s="7">
        <f t="shared" si="0"/>
        <v>2269</v>
      </c>
      <c r="S7" s="7">
        <f t="shared" si="0"/>
        <v>2269</v>
      </c>
      <c r="T7" s="7">
        <f t="shared" si="0"/>
        <v>2269</v>
      </c>
      <c r="U7" s="7">
        <f t="shared" si="0"/>
        <v>2269</v>
      </c>
      <c r="V7" s="7">
        <f t="shared" si="0"/>
        <v>2269</v>
      </c>
      <c r="W7" s="7">
        <f t="shared" si="0"/>
        <v>2269</v>
      </c>
      <c r="X7" s="7">
        <f t="shared" si="3"/>
        <v>2266</v>
      </c>
      <c r="Y7" s="43">
        <f t="shared" si="4"/>
        <v>452266</v>
      </c>
    </row>
    <row r="8" spans="1:25" x14ac:dyDescent="0.3">
      <c r="A8" s="1" t="s">
        <v>29</v>
      </c>
      <c r="B8" s="8">
        <f>B5-B6</f>
        <v>17106</v>
      </c>
      <c r="C8" s="8">
        <f>C5-C6</f>
        <v>8317</v>
      </c>
      <c r="D8" s="8">
        <f>D5-D6</f>
        <v>6491</v>
      </c>
      <c r="E8" s="8">
        <f>E5-E6</f>
        <v>23194</v>
      </c>
      <c r="F8" s="8">
        <f>SUM(B8:E8)</f>
        <v>55108</v>
      </c>
      <c r="G8" s="4"/>
      <c r="I8" s="48" t="s">
        <v>66</v>
      </c>
      <c r="J8" s="48" t="s">
        <v>67</v>
      </c>
      <c r="K8" s="49">
        <v>30000</v>
      </c>
      <c r="L8" s="7">
        <f>ROUND(K8*B$21/B$3,0)</f>
        <v>1815</v>
      </c>
      <c r="M8" s="7">
        <f t="shared" si="1"/>
        <v>151</v>
      </c>
      <c r="N8" s="7">
        <f t="shared" si="2"/>
        <v>151</v>
      </c>
      <c r="O8" s="7">
        <f t="shared" si="0"/>
        <v>151</v>
      </c>
      <c r="P8" s="7">
        <f t="shared" si="0"/>
        <v>151</v>
      </c>
      <c r="Q8" s="7">
        <f t="shared" si="0"/>
        <v>151</v>
      </c>
      <c r="R8" s="7">
        <f t="shared" si="0"/>
        <v>151</v>
      </c>
      <c r="S8" s="7">
        <f t="shared" si="0"/>
        <v>151</v>
      </c>
      <c r="T8" s="7">
        <f t="shared" si="0"/>
        <v>151</v>
      </c>
      <c r="U8" s="7">
        <f t="shared" si="0"/>
        <v>151</v>
      </c>
      <c r="V8" s="7">
        <f t="shared" si="0"/>
        <v>151</v>
      </c>
      <c r="W8" s="7">
        <f t="shared" si="0"/>
        <v>151</v>
      </c>
      <c r="X8" s="7">
        <f t="shared" si="3"/>
        <v>154</v>
      </c>
      <c r="Y8" s="43">
        <f t="shared" si="4"/>
        <v>30154</v>
      </c>
    </row>
    <row r="9" spans="1:25" x14ac:dyDescent="0.3">
      <c r="A9" s="1" t="s">
        <v>24</v>
      </c>
      <c r="B9" s="8">
        <f>B5*0.7%</f>
        <v>9099.9999999999982</v>
      </c>
      <c r="C9" s="8">
        <f>C5*0.7%</f>
        <v>5879.9999999999991</v>
      </c>
      <c r="D9" s="8">
        <f t="shared" ref="D9:E9" si="5">D5*0.7%</f>
        <v>3569.9999999999995</v>
      </c>
      <c r="E9" s="8">
        <f t="shared" si="5"/>
        <v>13299.999999999998</v>
      </c>
      <c r="F9" s="8">
        <f>F5*0.7%</f>
        <v>31849.999999999996</v>
      </c>
      <c r="G9" s="4"/>
      <c r="I9" s="48" t="s">
        <v>68</v>
      </c>
      <c r="J9" s="48" t="s">
        <v>69</v>
      </c>
      <c r="K9" s="49">
        <v>10000</v>
      </c>
      <c r="L9" s="7">
        <f>ROUND(K9*B$21/B$3,0)</f>
        <v>605</v>
      </c>
      <c r="M9" s="7">
        <f t="shared" si="1"/>
        <v>50</v>
      </c>
      <c r="N9" s="7">
        <f t="shared" si="2"/>
        <v>50</v>
      </c>
      <c r="O9" s="7">
        <f t="shared" si="0"/>
        <v>50</v>
      </c>
      <c r="P9" s="7">
        <f t="shared" si="0"/>
        <v>50</v>
      </c>
      <c r="Q9" s="7">
        <f t="shared" si="0"/>
        <v>50</v>
      </c>
      <c r="R9" s="7">
        <f t="shared" si="0"/>
        <v>50</v>
      </c>
      <c r="S9" s="7">
        <f t="shared" si="0"/>
        <v>50</v>
      </c>
      <c r="T9" s="7">
        <f t="shared" si="0"/>
        <v>50</v>
      </c>
      <c r="U9" s="7">
        <f t="shared" si="0"/>
        <v>50</v>
      </c>
      <c r="V9" s="7">
        <f t="shared" si="0"/>
        <v>50</v>
      </c>
      <c r="W9" s="7">
        <f t="shared" si="0"/>
        <v>50</v>
      </c>
      <c r="X9" s="7">
        <f t="shared" si="3"/>
        <v>55</v>
      </c>
      <c r="Y9" s="43">
        <f t="shared" si="4"/>
        <v>10055</v>
      </c>
    </row>
    <row r="10" spans="1:25" ht="32.4" x14ac:dyDescent="0.3">
      <c r="A10" s="18" t="s">
        <v>32</v>
      </c>
      <c r="B10" s="22">
        <f>B8-B9</f>
        <v>8006.0000000000018</v>
      </c>
      <c r="C10" s="22">
        <f>C8-C9</f>
        <v>2437.0000000000009</v>
      </c>
      <c r="D10" s="22">
        <f>D8-D9</f>
        <v>2921.0000000000005</v>
      </c>
      <c r="E10" s="22">
        <f t="shared" ref="E10" si="6">E8-E9</f>
        <v>9894.0000000000018</v>
      </c>
      <c r="F10" s="22">
        <f>F8-F9</f>
        <v>23258.000000000004</v>
      </c>
      <c r="G10" s="4"/>
      <c r="I10" s="48" t="s">
        <v>48</v>
      </c>
      <c r="J10" s="48" t="s">
        <v>51</v>
      </c>
      <c r="K10" s="49">
        <v>100000</v>
      </c>
      <c r="L10" s="7">
        <f>ROUND(K10*B$21/B$3,0)</f>
        <v>6050</v>
      </c>
      <c r="M10" s="7">
        <f t="shared" si="1"/>
        <v>504</v>
      </c>
      <c r="N10" s="7">
        <f t="shared" si="2"/>
        <v>504</v>
      </c>
      <c r="O10" s="7">
        <f t="shared" si="0"/>
        <v>504</v>
      </c>
      <c r="P10" s="7">
        <f t="shared" si="0"/>
        <v>504</v>
      </c>
      <c r="Q10" s="7">
        <f t="shared" si="0"/>
        <v>504</v>
      </c>
      <c r="R10" s="7">
        <f t="shared" si="0"/>
        <v>504</v>
      </c>
      <c r="S10" s="7">
        <f t="shared" si="0"/>
        <v>504</v>
      </c>
      <c r="T10" s="7">
        <f t="shared" si="0"/>
        <v>504</v>
      </c>
      <c r="U10" s="7">
        <f t="shared" si="0"/>
        <v>504</v>
      </c>
      <c r="V10" s="7">
        <f t="shared" si="0"/>
        <v>504</v>
      </c>
      <c r="W10" s="7">
        <f t="shared" si="0"/>
        <v>504</v>
      </c>
      <c r="X10" s="7">
        <f t="shared" si="3"/>
        <v>506</v>
      </c>
      <c r="Y10" s="43">
        <f t="shared" si="4"/>
        <v>100506</v>
      </c>
    </row>
    <row r="11" spans="1:25" x14ac:dyDescent="0.3">
      <c r="G11" s="4"/>
      <c r="I11" s="48" t="s">
        <v>70</v>
      </c>
      <c r="J11" s="48" t="s">
        <v>71</v>
      </c>
      <c r="K11" s="49">
        <v>20000</v>
      </c>
      <c r="L11" s="7">
        <f>ROUND(K11*B$21/B$3,0)</f>
        <v>1210</v>
      </c>
      <c r="M11" s="7">
        <f t="shared" si="1"/>
        <v>101</v>
      </c>
      <c r="N11" s="7">
        <f t="shared" si="2"/>
        <v>101</v>
      </c>
      <c r="O11" s="7">
        <f t="shared" si="0"/>
        <v>101</v>
      </c>
      <c r="P11" s="7">
        <f t="shared" si="0"/>
        <v>101</v>
      </c>
      <c r="Q11" s="7">
        <f t="shared" si="0"/>
        <v>101</v>
      </c>
      <c r="R11" s="7">
        <f t="shared" si="0"/>
        <v>101</v>
      </c>
      <c r="S11" s="7">
        <f t="shared" si="0"/>
        <v>101</v>
      </c>
      <c r="T11" s="7">
        <f t="shared" si="0"/>
        <v>101</v>
      </c>
      <c r="U11" s="7">
        <f t="shared" si="0"/>
        <v>101</v>
      </c>
      <c r="V11" s="7">
        <f t="shared" si="0"/>
        <v>101</v>
      </c>
      <c r="W11" s="7">
        <f t="shared" si="0"/>
        <v>101</v>
      </c>
      <c r="X11" s="7">
        <f t="shared" si="3"/>
        <v>99</v>
      </c>
      <c r="Y11" s="43">
        <f t="shared" si="4"/>
        <v>20099</v>
      </c>
    </row>
    <row r="12" spans="1:25" x14ac:dyDescent="0.3">
      <c r="G12" s="4"/>
      <c r="I12" s="48" t="s">
        <v>72</v>
      </c>
      <c r="J12" s="48" t="s">
        <v>73</v>
      </c>
      <c r="K12" s="49">
        <v>400000</v>
      </c>
      <c r="L12" s="7">
        <f>ROUND(K12*B$21/B$3,0)</f>
        <v>24200</v>
      </c>
      <c r="M12" s="7">
        <f t="shared" si="1"/>
        <v>2017</v>
      </c>
      <c r="N12" s="7">
        <f t="shared" si="2"/>
        <v>2017</v>
      </c>
      <c r="O12" s="7">
        <f t="shared" si="0"/>
        <v>2017</v>
      </c>
      <c r="P12" s="7">
        <f t="shared" si="0"/>
        <v>2017</v>
      </c>
      <c r="Q12" s="7">
        <f t="shared" si="0"/>
        <v>2017</v>
      </c>
      <c r="R12" s="7">
        <f t="shared" si="0"/>
        <v>2017</v>
      </c>
      <c r="S12" s="7">
        <f t="shared" si="0"/>
        <v>2017</v>
      </c>
      <c r="T12" s="7">
        <f t="shared" si="0"/>
        <v>2017</v>
      </c>
      <c r="U12" s="7">
        <f t="shared" si="0"/>
        <v>2017</v>
      </c>
      <c r="V12" s="7">
        <f t="shared" si="0"/>
        <v>2017</v>
      </c>
      <c r="W12" s="7">
        <f t="shared" si="0"/>
        <v>2017</v>
      </c>
      <c r="X12" s="7">
        <f t="shared" si="3"/>
        <v>2013</v>
      </c>
      <c r="Y12" s="43">
        <f t="shared" si="4"/>
        <v>402013</v>
      </c>
    </row>
    <row r="13" spans="1:25" x14ac:dyDescent="0.3">
      <c r="G13" s="4"/>
      <c r="I13" s="48" t="s">
        <v>74</v>
      </c>
      <c r="J13" s="48" t="s">
        <v>75</v>
      </c>
      <c r="K13" s="49">
        <v>50000</v>
      </c>
      <c r="L13" s="7">
        <f>ROUND(K13*B$21/B$3,0)</f>
        <v>3025</v>
      </c>
      <c r="M13" s="7">
        <f t="shared" si="1"/>
        <v>252</v>
      </c>
      <c r="N13" s="7">
        <f t="shared" si="2"/>
        <v>252</v>
      </c>
      <c r="O13" s="7">
        <f t="shared" si="0"/>
        <v>252</v>
      </c>
      <c r="P13" s="7">
        <f t="shared" si="0"/>
        <v>252</v>
      </c>
      <c r="Q13" s="7">
        <f t="shared" si="0"/>
        <v>252</v>
      </c>
      <c r="R13" s="7">
        <f t="shared" si="0"/>
        <v>252</v>
      </c>
      <c r="S13" s="7">
        <f t="shared" si="0"/>
        <v>252</v>
      </c>
      <c r="T13" s="7">
        <f t="shared" si="0"/>
        <v>252</v>
      </c>
      <c r="U13" s="7">
        <f t="shared" si="0"/>
        <v>252</v>
      </c>
      <c r="V13" s="7">
        <f t="shared" si="0"/>
        <v>252</v>
      </c>
      <c r="W13" s="7">
        <f t="shared" si="0"/>
        <v>252</v>
      </c>
      <c r="X13" s="7">
        <f t="shared" si="3"/>
        <v>253</v>
      </c>
      <c r="Y13" s="43">
        <f t="shared" si="4"/>
        <v>50253</v>
      </c>
    </row>
    <row r="14" spans="1:25" x14ac:dyDescent="0.3">
      <c r="A14" s="1" t="s">
        <v>12</v>
      </c>
      <c r="B14" s="21">
        <f>B3-B2</f>
        <v>17895</v>
      </c>
      <c r="C14" s="21">
        <f>C3-C2</f>
        <v>8812</v>
      </c>
      <c r="D14" s="21">
        <f t="shared" ref="D14" si="7">D3-D2</f>
        <v>46071</v>
      </c>
      <c r="E14" s="21">
        <f>E3-E2</f>
        <v>27222</v>
      </c>
      <c r="G14" s="4"/>
      <c r="I14" s="48" t="s">
        <v>76</v>
      </c>
      <c r="J14" s="48" t="s">
        <v>77</v>
      </c>
      <c r="K14" s="49">
        <v>30000</v>
      </c>
      <c r="L14" s="7">
        <f>ROUND(K14*B$21/B$3,0)</f>
        <v>1815</v>
      </c>
      <c r="M14" s="7">
        <f t="shared" si="1"/>
        <v>151</v>
      </c>
      <c r="N14" s="7">
        <f t="shared" si="2"/>
        <v>151</v>
      </c>
      <c r="O14" s="7">
        <f t="shared" si="0"/>
        <v>151</v>
      </c>
      <c r="P14" s="7">
        <f t="shared" si="0"/>
        <v>151</v>
      </c>
      <c r="Q14" s="7">
        <f t="shared" si="0"/>
        <v>151</v>
      </c>
      <c r="R14" s="7">
        <f t="shared" si="0"/>
        <v>151</v>
      </c>
      <c r="S14" s="7">
        <f t="shared" si="0"/>
        <v>151</v>
      </c>
      <c r="T14" s="7">
        <f t="shared" si="0"/>
        <v>151</v>
      </c>
      <c r="U14" s="7">
        <f t="shared" si="0"/>
        <v>151</v>
      </c>
      <c r="V14" s="7">
        <f t="shared" si="0"/>
        <v>151</v>
      </c>
      <c r="W14" s="7">
        <f t="shared" si="0"/>
        <v>151</v>
      </c>
      <c r="X14" s="7">
        <f t="shared" si="3"/>
        <v>154</v>
      </c>
      <c r="Y14" s="43">
        <f t="shared" si="4"/>
        <v>30154</v>
      </c>
    </row>
    <row r="15" spans="1:25" x14ac:dyDescent="0.3">
      <c r="A15" s="1" t="s">
        <v>13</v>
      </c>
      <c r="B15" s="21">
        <f>B4-B3</f>
        <v>82762.875</v>
      </c>
      <c r="C15" s="21">
        <f>C4-C3</f>
        <v>57277.099999999977</v>
      </c>
      <c r="D15" s="21">
        <f>D4-D3</f>
        <v>221973.67499999981</v>
      </c>
      <c r="E15" s="21">
        <f>E4-E3</f>
        <v>137985.35000000009</v>
      </c>
      <c r="G15" s="4"/>
      <c r="I15" s="48" t="s">
        <v>78</v>
      </c>
      <c r="J15" s="48" t="s">
        <v>79</v>
      </c>
      <c r="K15" s="49">
        <v>10000</v>
      </c>
      <c r="L15" s="7">
        <f>ROUND(K15*B$21/B$3,0)</f>
        <v>605</v>
      </c>
      <c r="M15" s="7">
        <f t="shared" si="1"/>
        <v>50</v>
      </c>
      <c r="N15" s="7">
        <f t="shared" si="2"/>
        <v>50</v>
      </c>
      <c r="O15" s="7">
        <f t="shared" si="0"/>
        <v>50</v>
      </c>
      <c r="P15" s="7">
        <f t="shared" si="0"/>
        <v>50</v>
      </c>
      <c r="Q15" s="7">
        <f t="shared" si="0"/>
        <v>50</v>
      </c>
      <c r="R15" s="7">
        <f t="shared" si="0"/>
        <v>50</v>
      </c>
      <c r="S15" s="7">
        <f t="shared" si="0"/>
        <v>50</v>
      </c>
      <c r="T15" s="7">
        <f t="shared" si="0"/>
        <v>50</v>
      </c>
      <c r="U15" s="7">
        <f t="shared" si="0"/>
        <v>50</v>
      </c>
      <c r="V15" s="7">
        <f t="shared" si="0"/>
        <v>50</v>
      </c>
      <c r="W15" s="7">
        <f t="shared" si="0"/>
        <v>50</v>
      </c>
      <c r="X15" s="7">
        <f t="shared" si="3"/>
        <v>55</v>
      </c>
      <c r="Y15" s="43">
        <f t="shared" si="4"/>
        <v>10055</v>
      </c>
    </row>
    <row r="16" spans="1:25" ht="16.8" thickBot="1" x14ac:dyDescent="0.35">
      <c r="A16" s="1" t="s">
        <v>14</v>
      </c>
      <c r="B16" s="23">
        <f>SUM(B14:B15)</f>
        <v>100657.875</v>
      </c>
      <c r="C16" s="23">
        <f>SUM(C14:C15)</f>
        <v>66089.099999999977</v>
      </c>
      <c r="D16" s="23">
        <f>SUM(D14:D15)</f>
        <v>268044.67499999981</v>
      </c>
      <c r="E16" s="23">
        <f>SUM(E14:E15)</f>
        <v>165207.35000000009</v>
      </c>
      <c r="G16" s="4"/>
      <c r="I16" s="48" t="s">
        <v>80</v>
      </c>
      <c r="J16" s="48" t="s">
        <v>81</v>
      </c>
      <c r="K16" s="49">
        <v>10000</v>
      </c>
      <c r="L16" s="7">
        <f>ROUND(K16*B$21/B$3,0)</f>
        <v>605</v>
      </c>
      <c r="M16" s="7">
        <f t="shared" si="1"/>
        <v>50</v>
      </c>
      <c r="N16" s="7">
        <f t="shared" si="2"/>
        <v>50</v>
      </c>
      <c r="O16" s="7">
        <f t="shared" si="0"/>
        <v>50</v>
      </c>
      <c r="P16" s="7">
        <f t="shared" si="0"/>
        <v>50</v>
      </c>
      <c r="Q16" s="7">
        <f t="shared" si="0"/>
        <v>50</v>
      </c>
      <c r="R16" s="7">
        <f t="shared" si="0"/>
        <v>50</v>
      </c>
      <c r="S16" s="7">
        <f t="shared" si="0"/>
        <v>50</v>
      </c>
      <c r="T16" s="7">
        <f t="shared" si="0"/>
        <v>50</v>
      </c>
      <c r="U16" s="7">
        <f t="shared" si="0"/>
        <v>50</v>
      </c>
      <c r="V16" s="7">
        <f t="shared" si="0"/>
        <v>50</v>
      </c>
      <c r="W16" s="7">
        <f t="shared" si="0"/>
        <v>50</v>
      </c>
      <c r="X16" s="7">
        <f t="shared" si="3"/>
        <v>55</v>
      </c>
      <c r="Y16" s="43">
        <f t="shared" si="4"/>
        <v>10055</v>
      </c>
    </row>
    <row r="17" spans="1:25" ht="16.8" thickTop="1" x14ac:dyDescent="0.3">
      <c r="A17" s="9" t="s">
        <v>15</v>
      </c>
      <c r="B17" s="4"/>
      <c r="K17" s="17">
        <f>SUM(K3:K16)</f>
        <v>1300000</v>
      </c>
      <c r="L17" s="7">
        <f>ROUND(K17*B$21/B$3,0)</f>
        <v>78650</v>
      </c>
      <c r="M17" s="7">
        <f>SUM(M3:M16)</f>
        <v>6553</v>
      </c>
      <c r="N17" s="7">
        <f>SUM(N3:N16)</f>
        <v>6553</v>
      </c>
      <c r="O17" s="7">
        <f>SUM(O3:O16)</f>
        <v>6553</v>
      </c>
      <c r="P17" s="7">
        <f>SUM(P3:P16)</f>
        <v>6553</v>
      </c>
      <c r="Q17" s="7">
        <f>SUM(Q3:Q16)</f>
        <v>6553</v>
      </c>
      <c r="R17" s="7">
        <f>SUM(R3:R16)</f>
        <v>6553</v>
      </c>
      <c r="S17" s="7">
        <f>SUM(S3:S16)</f>
        <v>6553</v>
      </c>
      <c r="T17" s="7">
        <f>SUM(T3:T16)</f>
        <v>6553</v>
      </c>
      <c r="U17" s="7">
        <f>SUM(U3:U16)</f>
        <v>6553</v>
      </c>
      <c r="V17" s="7">
        <f>SUM(V3:V16)</f>
        <v>6553</v>
      </c>
      <c r="W17" s="7">
        <f>SUM(W3:W16)</f>
        <v>6553</v>
      </c>
      <c r="X17" s="7">
        <f>SUM(X3:X16)</f>
        <v>6567</v>
      </c>
      <c r="Y17" s="43">
        <f>SUM(Y3:Y16)</f>
        <v>1306567</v>
      </c>
    </row>
    <row r="18" spans="1:25" x14ac:dyDescent="0.3">
      <c r="A18" s="9"/>
      <c r="B18" s="4"/>
      <c r="C18" s="4"/>
      <c r="D18" s="4"/>
      <c r="E18" s="4"/>
      <c r="F18" s="4"/>
      <c r="J18" s="52"/>
      <c r="K18" s="53"/>
      <c r="L18" s="56">
        <f>B22</f>
        <v>78650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x14ac:dyDescent="0.3">
      <c r="A19" s="1" t="s">
        <v>13</v>
      </c>
      <c r="B19" s="4">
        <f>B15</f>
        <v>82762.875</v>
      </c>
      <c r="C19" s="4">
        <f>C15</f>
        <v>57277.099999999977</v>
      </c>
      <c r="D19" s="4">
        <f t="shared" ref="D19" si="8">D15</f>
        <v>221973.67499999981</v>
      </c>
      <c r="E19" s="4">
        <f>E15</f>
        <v>137985.35000000009</v>
      </c>
      <c r="F19" s="4"/>
    </row>
    <row r="20" spans="1:25" x14ac:dyDescent="0.3">
      <c r="A20" s="1" t="s">
        <v>16</v>
      </c>
      <c r="B20" s="47">
        <v>483</v>
      </c>
      <c r="C20" s="47">
        <v>3432</v>
      </c>
      <c r="D20" s="47">
        <v>2964</v>
      </c>
      <c r="E20" s="47">
        <v>3070</v>
      </c>
      <c r="F20" s="4">
        <f>SUM(B20:E20)</f>
        <v>9949</v>
      </c>
    </row>
    <row r="21" spans="1:25" ht="16.8" thickBot="1" x14ac:dyDescent="0.35">
      <c r="A21" s="1" t="s">
        <v>17</v>
      </c>
      <c r="B21" s="24">
        <f>B19-B20</f>
        <v>82279.875</v>
      </c>
      <c r="C21" s="24">
        <f>C19-C20</f>
        <v>53845.099999999977</v>
      </c>
      <c r="D21" s="24">
        <f>D19-D20</f>
        <v>219009.67499999981</v>
      </c>
      <c r="E21" s="24">
        <f t="shared" ref="E21" si="9">E19-E20</f>
        <v>134915.35000000009</v>
      </c>
      <c r="F21" s="4"/>
      <c r="I21" s="3" t="s">
        <v>149</v>
      </c>
      <c r="L21" s="1" t="s">
        <v>0</v>
      </c>
      <c r="M21" s="1" t="s">
        <v>0</v>
      </c>
      <c r="N21" s="1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1</v>
      </c>
    </row>
    <row r="22" spans="1:25" ht="16.8" thickTop="1" x14ac:dyDescent="0.3">
      <c r="A22" s="1" t="s">
        <v>18</v>
      </c>
      <c r="B22" s="4">
        <f>ROUND(B21*B5/B3,0)</f>
        <v>78650</v>
      </c>
      <c r="C22" s="4">
        <f>ROUND(C21*C5/C3,0)</f>
        <v>50820</v>
      </c>
      <c r="D22" s="4">
        <f>ROUND(D21*D5/D3,0)</f>
        <v>30855</v>
      </c>
      <c r="E22" s="4">
        <f>ROUND(E21*E5/E3,0)</f>
        <v>114950</v>
      </c>
      <c r="F22" s="55">
        <f>SUM(B22:E22)</f>
        <v>275275</v>
      </c>
      <c r="I22" s="5" t="s">
        <v>3</v>
      </c>
      <c r="J22" s="5" t="s">
        <v>4</v>
      </c>
      <c r="K22" s="6" t="s">
        <v>5</v>
      </c>
      <c r="L22" s="6" t="s">
        <v>6</v>
      </c>
      <c r="M22" s="42" t="s">
        <v>137</v>
      </c>
      <c r="N22" s="42" t="s">
        <v>138</v>
      </c>
      <c r="O22" s="42" t="s">
        <v>139</v>
      </c>
      <c r="P22" s="42" t="s">
        <v>140</v>
      </c>
      <c r="Q22" s="42" t="s">
        <v>141</v>
      </c>
      <c r="R22" s="42" t="s">
        <v>142</v>
      </c>
      <c r="S22" s="42" t="s">
        <v>143</v>
      </c>
      <c r="T22" s="42" t="s">
        <v>144</v>
      </c>
      <c r="U22" s="42" t="s">
        <v>145</v>
      </c>
      <c r="V22" s="42" t="s">
        <v>146</v>
      </c>
      <c r="W22" s="42" t="s">
        <v>147</v>
      </c>
      <c r="X22" s="42" t="s">
        <v>148</v>
      </c>
      <c r="Y22" s="42" t="s">
        <v>148</v>
      </c>
    </row>
    <row r="23" spans="1:25" x14ac:dyDescent="0.3">
      <c r="A23" s="1" t="s">
        <v>40</v>
      </c>
      <c r="B23" s="20">
        <f>B22/B5</f>
        <v>6.0499999999999998E-2</v>
      </c>
      <c r="C23" s="20">
        <f>C22/C5</f>
        <v>6.0499999999999998E-2</v>
      </c>
      <c r="D23" s="20">
        <f>D22/D5</f>
        <v>6.0499999999999998E-2</v>
      </c>
      <c r="E23" s="20">
        <f>E22/E5</f>
        <v>6.0499999999999998E-2</v>
      </c>
      <c r="I23" s="48" t="s">
        <v>82</v>
      </c>
      <c r="J23" s="48" t="s">
        <v>83</v>
      </c>
      <c r="K23" s="49">
        <v>50000</v>
      </c>
      <c r="L23" s="7">
        <f>ROUND(K23*C$21/C$3,0)</f>
        <v>3025</v>
      </c>
      <c r="M23" s="7">
        <f>ROUND(L23/12,0)</f>
        <v>252</v>
      </c>
      <c r="N23" s="7">
        <f>M23</f>
        <v>252</v>
      </c>
      <c r="O23" s="7">
        <f t="shared" ref="O23:O30" si="10">N23</f>
        <v>252</v>
      </c>
      <c r="P23" s="7">
        <f t="shared" ref="P23:P30" si="11">O23</f>
        <v>252</v>
      </c>
      <c r="Q23" s="7">
        <f t="shared" ref="Q23:Q30" si="12">P23</f>
        <v>252</v>
      </c>
      <c r="R23" s="7">
        <f t="shared" ref="R23:R30" si="13">Q23</f>
        <v>252</v>
      </c>
      <c r="S23" s="7">
        <f t="shared" ref="S23:S30" si="14">R23</f>
        <v>252</v>
      </c>
      <c r="T23" s="7">
        <f t="shared" ref="T23:T30" si="15">S23</f>
        <v>252</v>
      </c>
      <c r="U23" s="7">
        <f t="shared" ref="U23:U30" si="16">T23</f>
        <v>252</v>
      </c>
      <c r="V23" s="7">
        <f t="shared" ref="V23:V30" si="17">U23</f>
        <v>252</v>
      </c>
      <c r="W23" s="7">
        <f t="shared" ref="W23:W30" si="18">V23</f>
        <v>252</v>
      </c>
      <c r="X23" s="7">
        <f>L23-SUM(M23:W23)</f>
        <v>253</v>
      </c>
      <c r="Y23" s="43">
        <f>SUM(X23,K23)</f>
        <v>50253</v>
      </c>
    </row>
    <row r="24" spans="1:25" x14ac:dyDescent="0.3">
      <c r="A24" s="1" t="s">
        <v>33</v>
      </c>
      <c r="B24" s="8">
        <f>ROUND(B20*B5/B3,0)</f>
        <v>462</v>
      </c>
      <c r="C24" s="8">
        <f>ROUND(C20*C5/C3,0)</f>
        <v>3239</v>
      </c>
      <c r="D24" s="16">
        <f>ROUND(D20*D5/D3,0)</f>
        <v>418</v>
      </c>
      <c r="E24" s="8">
        <f>ROUND(E20*E5/E3,0)</f>
        <v>2616</v>
      </c>
      <c r="F24" s="8">
        <f>ROUND(SUM(B24:E24),0)</f>
        <v>6735</v>
      </c>
      <c r="I24" s="48" t="s">
        <v>84</v>
      </c>
      <c r="J24" s="48" t="s">
        <v>85</v>
      </c>
      <c r="K24" s="49">
        <v>100000</v>
      </c>
      <c r="L24" s="7">
        <f>ROUND(K24*C$21/C$3,0)</f>
        <v>6050</v>
      </c>
      <c r="M24" s="7">
        <f t="shared" ref="M24:M30" si="19">ROUND(L24/12,0)</f>
        <v>504</v>
      </c>
      <c r="N24" s="7">
        <f t="shared" ref="N24:N30" si="20">M24</f>
        <v>504</v>
      </c>
      <c r="O24" s="7">
        <f t="shared" si="10"/>
        <v>504</v>
      </c>
      <c r="P24" s="7">
        <f t="shared" si="11"/>
        <v>504</v>
      </c>
      <c r="Q24" s="7">
        <f t="shared" si="12"/>
        <v>504</v>
      </c>
      <c r="R24" s="7">
        <f t="shared" si="13"/>
        <v>504</v>
      </c>
      <c r="S24" s="7">
        <f t="shared" si="14"/>
        <v>504</v>
      </c>
      <c r="T24" s="7">
        <f t="shared" si="15"/>
        <v>504</v>
      </c>
      <c r="U24" s="7">
        <f t="shared" si="16"/>
        <v>504</v>
      </c>
      <c r="V24" s="7">
        <f t="shared" si="17"/>
        <v>504</v>
      </c>
      <c r="W24" s="7">
        <f t="shared" si="18"/>
        <v>504</v>
      </c>
      <c r="X24" s="7">
        <f t="shared" ref="X24:X30" si="21">L24-SUM(M24:W24)</f>
        <v>506</v>
      </c>
      <c r="Y24" s="43">
        <f t="shared" ref="Y24:Y30" si="22">SUM(X24,K24)</f>
        <v>100506</v>
      </c>
    </row>
    <row r="25" spans="1:25" x14ac:dyDescent="0.3">
      <c r="I25" s="48" t="s">
        <v>86</v>
      </c>
      <c r="J25" s="48" t="s">
        <v>87</v>
      </c>
      <c r="K25" s="49">
        <v>10000</v>
      </c>
      <c r="L25" s="7">
        <f>ROUND(K25*C$21/C$3,0)</f>
        <v>605</v>
      </c>
      <c r="M25" s="7">
        <f t="shared" si="19"/>
        <v>50</v>
      </c>
      <c r="N25" s="7">
        <f t="shared" si="20"/>
        <v>50</v>
      </c>
      <c r="O25" s="7">
        <f t="shared" si="10"/>
        <v>50</v>
      </c>
      <c r="P25" s="7">
        <f t="shared" si="11"/>
        <v>50</v>
      </c>
      <c r="Q25" s="7">
        <f t="shared" si="12"/>
        <v>50</v>
      </c>
      <c r="R25" s="7">
        <f t="shared" si="13"/>
        <v>50</v>
      </c>
      <c r="S25" s="7">
        <f t="shared" si="14"/>
        <v>50</v>
      </c>
      <c r="T25" s="7">
        <f t="shared" si="15"/>
        <v>50</v>
      </c>
      <c r="U25" s="7">
        <f t="shared" si="16"/>
        <v>50</v>
      </c>
      <c r="V25" s="7">
        <f t="shared" si="17"/>
        <v>50</v>
      </c>
      <c r="W25" s="7">
        <f t="shared" si="18"/>
        <v>50</v>
      </c>
      <c r="X25" s="7">
        <f t="shared" si="21"/>
        <v>55</v>
      </c>
      <c r="Y25" s="43">
        <f t="shared" si="22"/>
        <v>10055</v>
      </c>
    </row>
    <row r="26" spans="1:25" x14ac:dyDescent="0.3">
      <c r="I26" s="48" t="s">
        <v>88</v>
      </c>
      <c r="J26" s="48" t="s">
        <v>89</v>
      </c>
      <c r="K26" s="49">
        <v>450000</v>
      </c>
      <c r="L26" s="7">
        <f>ROUND(K26*C$21/C$3,0)</f>
        <v>27225</v>
      </c>
      <c r="M26" s="7">
        <f t="shared" si="19"/>
        <v>2269</v>
      </c>
      <c r="N26" s="7">
        <f t="shared" si="20"/>
        <v>2269</v>
      </c>
      <c r="O26" s="7">
        <f t="shared" si="10"/>
        <v>2269</v>
      </c>
      <c r="P26" s="7">
        <f t="shared" si="11"/>
        <v>2269</v>
      </c>
      <c r="Q26" s="7">
        <f t="shared" si="12"/>
        <v>2269</v>
      </c>
      <c r="R26" s="7">
        <f t="shared" si="13"/>
        <v>2269</v>
      </c>
      <c r="S26" s="7">
        <f t="shared" si="14"/>
        <v>2269</v>
      </c>
      <c r="T26" s="7">
        <f t="shared" si="15"/>
        <v>2269</v>
      </c>
      <c r="U26" s="7">
        <f t="shared" si="16"/>
        <v>2269</v>
      </c>
      <c r="V26" s="7">
        <f t="shared" si="17"/>
        <v>2269</v>
      </c>
      <c r="W26" s="7">
        <f t="shared" si="18"/>
        <v>2269</v>
      </c>
      <c r="X26" s="7">
        <f t="shared" si="21"/>
        <v>2266</v>
      </c>
      <c r="Y26" s="43">
        <f t="shared" si="22"/>
        <v>452266</v>
      </c>
    </row>
    <row r="27" spans="1:25" x14ac:dyDescent="0.3">
      <c r="I27" s="48" t="s">
        <v>90</v>
      </c>
      <c r="J27" s="48" t="s">
        <v>91</v>
      </c>
      <c r="K27" s="49">
        <v>20000</v>
      </c>
      <c r="L27" s="7">
        <f>ROUND(K27*C$21/C$3,0)</f>
        <v>1210</v>
      </c>
      <c r="M27" s="7">
        <f t="shared" si="19"/>
        <v>101</v>
      </c>
      <c r="N27" s="7">
        <f t="shared" si="20"/>
        <v>101</v>
      </c>
      <c r="O27" s="7">
        <f t="shared" si="10"/>
        <v>101</v>
      </c>
      <c r="P27" s="7">
        <f t="shared" si="11"/>
        <v>101</v>
      </c>
      <c r="Q27" s="7">
        <f t="shared" si="12"/>
        <v>101</v>
      </c>
      <c r="R27" s="7">
        <f t="shared" si="13"/>
        <v>101</v>
      </c>
      <c r="S27" s="7">
        <f t="shared" si="14"/>
        <v>101</v>
      </c>
      <c r="T27" s="7">
        <f t="shared" si="15"/>
        <v>101</v>
      </c>
      <c r="U27" s="7">
        <f t="shared" si="16"/>
        <v>101</v>
      </c>
      <c r="V27" s="7">
        <f t="shared" si="17"/>
        <v>101</v>
      </c>
      <c r="W27" s="7">
        <f t="shared" si="18"/>
        <v>101</v>
      </c>
      <c r="X27" s="7">
        <f t="shared" si="21"/>
        <v>99</v>
      </c>
      <c r="Y27" s="43">
        <f t="shared" si="22"/>
        <v>20099</v>
      </c>
    </row>
    <row r="28" spans="1:25" x14ac:dyDescent="0.3">
      <c r="I28" s="48" t="s">
        <v>92</v>
      </c>
      <c r="J28" s="48" t="s">
        <v>93</v>
      </c>
      <c r="K28" s="49">
        <v>50000</v>
      </c>
      <c r="L28" s="7">
        <f>ROUND(K28*C$21/C$3,0)</f>
        <v>3025</v>
      </c>
      <c r="M28" s="7">
        <f t="shared" si="19"/>
        <v>252</v>
      </c>
      <c r="N28" s="7">
        <f t="shared" si="20"/>
        <v>252</v>
      </c>
      <c r="O28" s="7">
        <f t="shared" si="10"/>
        <v>252</v>
      </c>
      <c r="P28" s="7">
        <f t="shared" si="11"/>
        <v>252</v>
      </c>
      <c r="Q28" s="7">
        <f t="shared" si="12"/>
        <v>252</v>
      </c>
      <c r="R28" s="7">
        <f t="shared" si="13"/>
        <v>252</v>
      </c>
      <c r="S28" s="7">
        <f t="shared" si="14"/>
        <v>252</v>
      </c>
      <c r="T28" s="7">
        <f t="shared" si="15"/>
        <v>252</v>
      </c>
      <c r="U28" s="7">
        <f t="shared" si="16"/>
        <v>252</v>
      </c>
      <c r="V28" s="7">
        <f t="shared" si="17"/>
        <v>252</v>
      </c>
      <c r="W28" s="7">
        <f t="shared" si="18"/>
        <v>252</v>
      </c>
      <c r="X28" s="7">
        <f t="shared" si="21"/>
        <v>253</v>
      </c>
      <c r="Y28" s="43">
        <f t="shared" si="22"/>
        <v>50253</v>
      </c>
    </row>
    <row r="29" spans="1:25" x14ac:dyDescent="0.3">
      <c r="I29" s="48" t="s">
        <v>96</v>
      </c>
      <c r="J29" s="48" t="s">
        <v>97</v>
      </c>
      <c r="K29" s="49">
        <v>150000</v>
      </c>
      <c r="L29" s="7">
        <f>ROUND(K29*C$21/C$3,0)</f>
        <v>9075</v>
      </c>
      <c r="M29" s="7">
        <f t="shared" si="19"/>
        <v>756</v>
      </c>
      <c r="N29" s="7">
        <f t="shared" si="20"/>
        <v>756</v>
      </c>
      <c r="O29" s="7">
        <f t="shared" si="10"/>
        <v>756</v>
      </c>
      <c r="P29" s="7">
        <f t="shared" si="11"/>
        <v>756</v>
      </c>
      <c r="Q29" s="7">
        <f t="shared" si="12"/>
        <v>756</v>
      </c>
      <c r="R29" s="7">
        <f t="shared" si="13"/>
        <v>756</v>
      </c>
      <c r="S29" s="7">
        <f t="shared" si="14"/>
        <v>756</v>
      </c>
      <c r="T29" s="7">
        <f t="shared" si="15"/>
        <v>756</v>
      </c>
      <c r="U29" s="7">
        <f t="shared" si="16"/>
        <v>756</v>
      </c>
      <c r="V29" s="7">
        <f t="shared" si="17"/>
        <v>756</v>
      </c>
      <c r="W29" s="7">
        <f t="shared" si="18"/>
        <v>756</v>
      </c>
      <c r="X29" s="7">
        <f t="shared" si="21"/>
        <v>759</v>
      </c>
      <c r="Y29" s="43">
        <f t="shared" si="22"/>
        <v>150759</v>
      </c>
    </row>
    <row r="30" spans="1:25" x14ac:dyDescent="0.3">
      <c r="I30" s="48" t="s">
        <v>94</v>
      </c>
      <c r="J30" s="48" t="s">
        <v>95</v>
      </c>
      <c r="K30" s="49">
        <v>10000</v>
      </c>
      <c r="L30" s="7">
        <f>ROUND(K30*C$21/C$3,0)</f>
        <v>605</v>
      </c>
      <c r="M30" s="7">
        <f t="shared" si="19"/>
        <v>50</v>
      </c>
      <c r="N30" s="7">
        <f t="shared" si="20"/>
        <v>50</v>
      </c>
      <c r="O30" s="7">
        <f t="shared" si="10"/>
        <v>50</v>
      </c>
      <c r="P30" s="7">
        <f t="shared" si="11"/>
        <v>50</v>
      </c>
      <c r="Q30" s="7">
        <f t="shared" si="12"/>
        <v>50</v>
      </c>
      <c r="R30" s="7">
        <f t="shared" si="13"/>
        <v>50</v>
      </c>
      <c r="S30" s="7">
        <f t="shared" si="14"/>
        <v>50</v>
      </c>
      <c r="T30" s="7">
        <f t="shared" si="15"/>
        <v>50</v>
      </c>
      <c r="U30" s="7">
        <f t="shared" si="16"/>
        <v>50</v>
      </c>
      <c r="V30" s="7">
        <f t="shared" si="17"/>
        <v>50</v>
      </c>
      <c r="W30" s="7">
        <f t="shared" si="18"/>
        <v>50</v>
      </c>
      <c r="X30" s="7">
        <f t="shared" si="21"/>
        <v>55</v>
      </c>
      <c r="Y30" s="43">
        <f t="shared" si="22"/>
        <v>10055</v>
      </c>
    </row>
    <row r="31" spans="1:25" x14ac:dyDescent="0.3">
      <c r="K31" s="17">
        <f>SUM(K23:K30)</f>
        <v>840000</v>
      </c>
      <c r="L31" s="7">
        <f>ROUND(K31*C$21/C$3,0)</f>
        <v>50820</v>
      </c>
      <c r="M31" s="7">
        <f>SUM(M23:M30)</f>
        <v>4234</v>
      </c>
      <c r="N31" s="7">
        <f>SUM(N23:N30)</f>
        <v>4234</v>
      </c>
      <c r="O31" s="7">
        <f>SUM(O23:O30)</f>
        <v>4234</v>
      </c>
      <c r="P31" s="7">
        <f>SUM(P23:P30)</f>
        <v>4234</v>
      </c>
      <c r="Q31" s="7">
        <f>SUM(Q23:Q30)</f>
        <v>4234</v>
      </c>
      <c r="R31" s="7">
        <f>SUM(R23:R30)</f>
        <v>4234</v>
      </c>
      <c r="S31" s="7">
        <f>SUM(S23:S30)</f>
        <v>4234</v>
      </c>
      <c r="T31" s="7">
        <f>SUM(T23:T30)</f>
        <v>4234</v>
      </c>
      <c r="U31" s="7">
        <f>SUM(U23:U30)</f>
        <v>4234</v>
      </c>
      <c r="V31" s="7">
        <f>SUM(V23:V30)</f>
        <v>4234</v>
      </c>
      <c r="W31" s="7">
        <f>SUM(W23:W30)</f>
        <v>4234</v>
      </c>
      <c r="X31" s="7">
        <f>SUM(X23:X30)</f>
        <v>4246</v>
      </c>
      <c r="Y31" s="43">
        <f>SUM(Y23:Y30)</f>
        <v>844246</v>
      </c>
    </row>
    <row r="32" spans="1:25" x14ac:dyDescent="0.3">
      <c r="J32" s="52"/>
      <c r="K32" s="53"/>
      <c r="L32" s="56">
        <f>C22</f>
        <v>50820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5" spans="9:25" x14ac:dyDescent="0.3">
      <c r="I35" s="3" t="s">
        <v>150</v>
      </c>
      <c r="L35" s="1" t="s">
        <v>0</v>
      </c>
      <c r="M35" s="1" t="s">
        <v>0</v>
      </c>
      <c r="N35" s="1" t="s">
        <v>0</v>
      </c>
      <c r="O35" s="1" t="s">
        <v>0</v>
      </c>
      <c r="P35" s="1" t="s">
        <v>0</v>
      </c>
      <c r="Q35" s="1" t="s">
        <v>0</v>
      </c>
      <c r="R35" s="1" t="s">
        <v>0</v>
      </c>
      <c r="S35" s="1" t="s">
        <v>0</v>
      </c>
      <c r="T35" s="1" t="s">
        <v>0</v>
      </c>
      <c r="U35" s="1" t="s">
        <v>0</v>
      </c>
      <c r="V35" s="1" t="s">
        <v>0</v>
      </c>
      <c r="W35" s="1" t="s">
        <v>0</v>
      </c>
      <c r="X35" s="1" t="s">
        <v>0</v>
      </c>
      <c r="Y35" s="1" t="s">
        <v>1</v>
      </c>
    </row>
    <row r="36" spans="9:25" x14ac:dyDescent="0.3">
      <c r="I36" s="5" t="s">
        <v>3</v>
      </c>
      <c r="J36" s="5" t="s">
        <v>4</v>
      </c>
      <c r="K36" s="6" t="s">
        <v>5</v>
      </c>
      <c r="L36" s="6" t="s">
        <v>6</v>
      </c>
      <c r="M36" s="42" t="s">
        <v>137</v>
      </c>
      <c r="N36" s="42" t="s">
        <v>138</v>
      </c>
      <c r="O36" s="42" t="s">
        <v>139</v>
      </c>
      <c r="P36" s="42" t="s">
        <v>140</v>
      </c>
      <c r="Q36" s="42" t="s">
        <v>141</v>
      </c>
      <c r="R36" s="42" t="s">
        <v>142</v>
      </c>
      <c r="S36" s="42" t="s">
        <v>143</v>
      </c>
      <c r="T36" s="42" t="s">
        <v>144</v>
      </c>
      <c r="U36" s="42" t="s">
        <v>145</v>
      </c>
      <c r="V36" s="42" t="s">
        <v>146</v>
      </c>
      <c r="W36" s="42" t="s">
        <v>147</v>
      </c>
      <c r="X36" s="42" t="s">
        <v>148</v>
      </c>
      <c r="Y36" s="42" t="s">
        <v>148</v>
      </c>
    </row>
    <row r="37" spans="9:25" x14ac:dyDescent="0.3">
      <c r="I37" s="48" t="s">
        <v>47</v>
      </c>
      <c r="J37" s="48" t="s">
        <v>50</v>
      </c>
      <c r="K37" s="49">
        <v>50000</v>
      </c>
      <c r="L37" s="7">
        <f>ROUND(K37*D$21/D$3,0)</f>
        <v>3025</v>
      </c>
      <c r="M37" s="7">
        <f>ROUND(L37/12,0)</f>
        <v>252</v>
      </c>
      <c r="N37" s="7">
        <f>M37</f>
        <v>252</v>
      </c>
      <c r="O37" s="7">
        <f t="shared" ref="O37:O42" si="23">N37</f>
        <v>252</v>
      </c>
      <c r="P37" s="7">
        <f t="shared" ref="P37:P42" si="24">O37</f>
        <v>252</v>
      </c>
      <c r="Q37" s="7">
        <f t="shared" ref="Q37:Q42" si="25">P37</f>
        <v>252</v>
      </c>
      <c r="R37" s="7">
        <f t="shared" ref="R37:R42" si="26">Q37</f>
        <v>252</v>
      </c>
      <c r="S37" s="7">
        <f t="shared" ref="S37:S42" si="27">R37</f>
        <v>252</v>
      </c>
      <c r="T37" s="7">
        <f t="shared" ref="T37:T42" si="28">S37</f>
        <v>252</v>
      </c>
      <c r="U37" s="7">
        <f t="shared" ref="U37:U42" si="29">T37</f>
        <v>252</v>
      </c>
      <c r="V37" s="7">
        <f t="shared" ref="V37:V42" si="30">U37</f>
        <v>252</v>
      </c>
      <c r="W37" s="7">
        <f t="shared" ref="W37:W42" si="31">V37</f>
        <v>252</v>
      </c>
      <c r="X37" s="7">
        <f>L37-SUM(M37:W37)</f>
        <v>253</v>
      </c>
      <c r="Y37" s="43">
        <f>SUM(X37,K37)</f>
        <v>50253</v>
      </c>
    </row>
    <row r="38" spans="9:25" x14ac:dyDescent="0.3">
      <c r="I38" s="48" t="s">
        <v>98</v>
      </c>
      <c r="J38" s="48" t="s">
        <v>99</v>
      </c>
      <c r="K38" s="49">
        <v>100000</v>
      </c>
      <c r="L38" s="7">
        <f>ROUND(K38*D$21/D$3,0)</f>
        <v>6050</v>
      </c>
      <c r="M38" s="7">
        <f t="shared" ref="M38:M42" si="32">ROUND(L38/12,0)</f>
        <v>504</v>
      </c>
      <c r="N38" s="7">
        <f t="shared" ref="N38:N42" si="33">M38</f>
        <v>504</v>
      </c>
      <c r="O38" s="7">
        <f t="shared" si="23"/>
        <v>504</v>
      </c>
      <c r="P38" s="7">
        <f t="shared" si="24"/>
        <v>504</v>
      </c>
      <c r="Q38" s="7">
        <f t="shared" si="25"/>
        <v>504</v>
      </c>
      <c r="R38" s="7">
        <f t="shared" si="26"/>
        <v>504</v>
      </c>
      <c r="S38" s="7">
        <f t="shared" si="27"/>
        <v>504</v>
      </c>
      <c r="T38" s="7">
        <f t="shared" si="28"/>
        <v>504</v>
      </c>
      <c r="U38" s="7">
        <f t="shared" si="29"/>
        <v>504</v>
      </c>
      <c r="V38" s="7">
        <f t="shared" si="30"/>
        <v>504</v>
      </c>
      <c r="W38" s="7">
        <f t="shared" si="31"/>
        <v>504</v>
      </c>
      <c r="X38" s="7">
        <f t="shared" ref="X38:X42" si="34">L38-SUM(M38:W38)</f>
        <v>506</v>
      </c>
      <c r="Y38" s="43">
        <f t="shared" ref="Y38:Y42" si="35">SUM(X38,K38)</f>
        <v>100506</v>
      </c>
    </row>
    <row r="39" spans="9:25" x14ac:dyDescent="0.3">
      <c r="I39" s="48" t="s">
        <v>82</v>
      </c>
      <c r="J39" s="48" t="s">
        <v>83</v>
      </c>
      <c r="K39" s="49">
        <v>50000</v>
      </c>
      <c r="L39" s="7">
        <f>ROUND(K39*D$21/D$3,0)</f>
        <v>3025</v>
      </c>
      <c r="M39" s="7">
        <f t="shared" si="32"/>
        <v>252</v>
      </c>
      <c r="N39" s="7">
        <f t="shared" si="33"/>
        <v>252</v>
      </c>
      <c r="O39" s="7">
        <f t="shared" si="23"/>
        <v>252</v>
      </c>
      <c r="P39" s="7">
        <f t="shared" si="24"/>
        <v>252</v>
      </c>
      <c r="Q39" s="7">
        <f t="shared" si="25"/>
        <v>252</v>
      </c>
      <c r="R39" s="7">
        <f t="shared" si="26"/>
        <v>252</v>
      </c>
      <c r="S39" s="7">
        <f t="shared" si="27"/>
        <v>252</v>
      </c>
      <c r="T39" s="7">
        <f t="shared" si="28"/>
        <v>252</v>
      </c>
      <c r="U39" s="7">
        <f t="shared" si="29"/>
        <v>252</v>
      </c>
      <c r="V39" s="7">
        <f t="shared" si="30"/>
        <v>252</v>
      </c>
      <c r="W39" s="7">
        <f t="shared" si="31"/>
        <v>252</v>
      </c>
      <c r="X39" s="7">
        <f t="shared" si="34"/>
        <v>253</v>
      </c>
      <c r="Y39" s="43">
        <f t="shared" si="35"/>
        <v>50253</v>
      </c>
    </row>
    <row r="40" spans="9:25" x14ac:dyDescent="0.3">
      <c r="I40" s="48" t="s">
        <v>100</v>
      </c>
      <c r="J40" s="48" t="s">
        <v>101</v>
      </c>
      <c r="K40" s="49">
        <v>100000</v>
      </c>
      <c r="L40" s="7">
        <f>ROUND(K40*D$21/D$3,0)</f>
        <v>6050</v>
      </c>
      <c r="M40" s="7">
        <f t="shared" si="32"/>
        <v>504</v>
      </c>
      <c r="N40" s="7">
        <f t="shared" si="33"/>
        <v>504</v>
      </c>
      <c r="O40" s="7">
        <f t="shared" si="23"/>
        <v>504</v>
      </c>
      <c r="P40" s="7">
        <f t="shared" si="24"/>
        <v>504</v>
      </c>
      <c r="Q40" s="7">
        <f t="shared" si="25"/>
        <v>504</v>
      </c>
      <c r="R40" s="7">
        <f t="shared" si="26"/>
        <v>504</v>
      </c>
      <c r="S40" s="7">
        <f t="shared" si="27"/>
        <v>504</v>
      </c>
      <c r="T40" s="7">
        <f t="shared" si="28"/>
        <v>504</v>
      </c>
      <c r="U40" s="7">
        <f t="shared" si="29"/>
        <v>504</v>
      </c>
      <c r="V40" s="7">
        <f t="shared" si="30"/>
        <v>504</v>
      </c>
      <c r="W40" s="7">
        <f t="shared" si="31"/>
        <v>504</v>
      </c>
      <c r="X40" s="7">
        <f t="shared" si="34"/>
        <v>506</v>
      </c>
      <c r="Y40" s="43">
        <f t="shared" si="35"/>
        <v>100506</v>
      </c>
    </row>
    <row r="41" spans="9:25" x14ac:dyDescent="0.3">
      <c r="I41" s="48" t="s">
        <v>102</v>
      </c>
      <c r="J41" s="48" t="s">
        <v>103</v>
      </c>
      <c r="K41" s="49">
        <v>200000</v>
      </c>
      <c r="L41" s="7">
        <f>ROUND(K41*D$21/D$3,0)</f>
        <v>12100</v>
      </c>
      <c r="M41" s="7">
        <f t="shared" si="32"/>
        <v>1008</v>
      </c>
      <c r="N41" s="7">
        <f t="shared" si="33"/>
        <v>1008</v>
      </c>
      <c r="O41" s="7">
        <f t="shared" si="23"/>
        <v>1008</v>
      </c>
      <c r="P41" s="7">
        <f t="shared" si="24"/>
        <v>1008</v>
      </c>
      <c r="Q41" s="7">
        <f t="shared" si="25"/>
        <v>1008</v>
      </c>
      <c r="R41" s="7">
        <f t="shared" si="26"/>
        <v>1008</v>
      </c>
      <c r="S41" s="7">
        <f t="shared" si="27"/>
        <v>1008</v>
      </c>
      <c r="T41" s="7">
        <f t="shared" si="28"/>
        <v>1008</v>
      </c>
      <c r="U41" s="7">
        <f t="shared" si="29"/>
        <v>1008</v>
      </c>
      <c r="V41" s="7">
        <f t="shared" si="30"/>
        <v>1008</v>
      </c>
      <c r="W41" s="7">
        <f t="shared" si="31"/>
        <v>1008</v>
      </c>
      <c r="X41" s="7">
        <f t="shared" si="34"/>
        <v>1012</v>
      </c>
      <c r="Y41" s="43">
        <f t="shared" si="35"/>
        <v>201012</v>
      </c>
    </row>
    <row r="42" spans="9:25" x14ac:dyDescent="0.3">
      <c r="I42" s="48" t="s">
        <v>80</v>
      </c>
      <c r="J42" s="48" t="s">
        <v>81</v>
      </c>
      <c r="K42" s="49">
        <v>10000</v>
      </c>
      <c r="L42" s="7">
        <f>ROUND(K42*D$21/D$3,0)</f>
        <v>605</v>
      </c>
      <c r="M42" s="7">
        <f t="shared" si="32"/>
        <v>50</v>
      </c>
      <c r="N42" s="7">
        <f t="shared" si="33"/>
        <v>50</v>
      </c>
      <c r="O42" s="7">
        <f t="shared" si="23"/>
        <v>50</v>
      </c>
      <c r="P42" s="7">
        <f t="shared" si="24"/>
        <v>50</v>
      </c>
      <c r="Q42" s="7">
        <f t="shared" si="25"/>
        <v>50</v>
      </c>
      <c r="R42" s="7">
        <f t="shared" si="26"/>
        <v>50</v>
      </c>
      <c r="S42" s="7">
        <f t="shared" si="27"/>
        <v>50</v>
      </c>
      <c r="T42" s="7">
        <f t="shared" si="28"/>
        <v>50</v>
      </c>
      <c r="U42" s="7">
        <f t="shared" si="29"/>
        <v>50</v>
      </c>
      <c r="V42" s="7">
        <f t="shared" si="30"/>
        <v>50</v>
      </c>
      <c r="W42" s="7">
        <f t="shared" si="31"/>
        <v>50</v>
      </c>
      <c r="X42" s="7">
        <f t="shared" si="34"/>
        <v>55</v>
      </c>
      <c r="Y42" s="43">
        <f t="shared" si="35"/>
        <v>10055</v>
      </c>
    </row>
    <row r="43" spans="9:25" x14ac:dyDescent="0.3">
      <c r="K43" s="17">
        <f>SUM(K37:K42)</f>
        <v>510000</v>
      </c>
      <c r="L43" s="7">
        <f>ROUND(K43*D$21/D$3,0)</f>
        <v>30855</v>
      </c>
      <c r="M43" s="7">
        <f>SUM(M37:M42)</f>
        <v>2570</v>
      </c>
      <c r="N43" s="7">
        <f>SUM(N37:N42)</f>
        <v>2570</v>
      </c>
      <c r="O43" s="7">
        <f>SUM(O37:O42)</f>
        <v>2570</v>
      </c>
      <c r="P43" s="7">
        <f>SUM(P37:P42)</f>
        <v>2570</v>
      </c>
      <c r="Q43" s="7">
        <f>SUM(Q37:Q42)</f>
        <v>2570</v>
      </c>
      <c r="R43" s="7">
        <f>SUM(R37:R42)</f>
        <v>2570</v>
      </c>
      <c r="S43" s="7">
        <f>SUM(S37:S42)</f>
        <v>2570</v>
      </c>
      <c r="T43" s="7">
        <f>SUM(T37:T42)</f>
        <v>2570</v>
      </c>
      <c r="U43" s="7">
        <f>SUM(U37:U42)</f>
        <v>2570</v>
      </c>
      <c r="V43" s="7">
        <f>SUM(V37:V42)</f>
        <v>2570</v>
      </c>
      <c r="W43" s="7">
        <f>SUM(W37:W42)</f>
        <v>2570</v>
      </c>
      <c r="X43" s="7">
        <f>SUM(X37:X42)</f>
        <v>2585</v>
      </c>
      <c r="Y43" s="7">
        <f>SUM(Y37:Y42)</f>
        <v>512585</v>
      </c>
    </row>
    <row r="44" spans="9:25" x14ac:dyDescent="0.3">
      <c r="L44" s="56">
        <f>D22</f>
        <v>30855</v>
      </c>
    </row>
    <row r="48" spans="9:25" x14ac:dyDescent="0.3">
      <c r="I48" s="3" t="s">
        <v>151</v>
      </c>
      <c r="L48" s="1" t="s">
        <v>0</v>
      </c>
      <c r="M48" s="1" t="s">
        <v>0</v>
      </c>
      <c r="N48" s="1" t="s">
        <v>0</v>
      </c>
      <c r="O48" s="1" t="s">
        <v>0</v>
      </c>
      <c r="P48" s="1" t="s">
        <v>0</v>
      </c>
      <c r="Q48" s="1" t="s">
        <v>0</v>
      </c>
      <c r="R48" s="1" t="s">
        <v>0</v>
      </c>
      <c r="S48" s="1" t="s">
        <v>0</v>
      </c>
      <c r="T48" s="1" t="s">
        <v>0</v>
      </c>
      <c r="U48" s="1" t="s">
        <v>0</v>
      </c>
      <c r="V48" s="1" t="s">
        <v>0</v>
      </c>
      <c r="W48" s="1" t="s">
        <v>0</v>
      </c>
      <c r="X48" s="1" t="s">
        <v>0</v>
      </c>
      <c r="Y48" s="1" t="s">
        <v>1</v>
      </c>
    </row>
    <row r="49" spans="9:25" x14ac:dyDescent="0.3">
      <c r="I49" s="5" t="s">
        <v>3</v>
      </c>
      <c r="J49" s="5" t="s">
        <v>4</v>
      </c>
      <c r="K49" s="6" t="s">
        <v>5</v>
      </c>
      <c r="L49" s="6" t="s">
        <v>6</v>
      </c>
      <c r="M49" s="42" t="s">
        <v>137</v>
      </c>
      <c r="N49" s="42" t="s">
        <v>138</v>
      </c>
      <c r="O49" s="42" t="s">
        <v>139</v>
      </c>
      <c r="P49" s="42" t="s">
        <v>140</v>
      </c>
      <c r="Q49" s="42" t="s">
        <v>141</v>
      </c>
      <c r="R49" s="42" t="s">
        <v>142</v>
      </c>
      <c r="S49" s="42" t="s">
        <v>143</v>
      </c>
      <c r="T49" s="42" t="s">
        <v>144</v>
      </c>
      <c r="U49" s="42" t="s">
        <v>145</v>
      </c>
      <c r="V49" s="42" t="s">
        <v>146</v>
      </c>
      <c r="W49" s="42" t="s">
        <v>147</v>
      </c>
      <c r="X49" s="42" t="s">
        <v>148</v>
      </c>
      <c r="Y49" s="42" t="s">
        <v>148</v>
      </c>
    </row>
    <row r="50" spans="9:25" x14ac:dyDescent="0.3">
      <c r="I50" s="48" t="s">
        <v>104</v>
      </c>
      <c r="J50" s="48" t="s">
        <v>105</v>
      </c>
      <c r="K50" s="49">
        <v>10000</v>
      </c>
      <c r="L50" s="7">
        <f>ROUND(K50*E$21/E$3,0)</f>
        <v>605</v>
      </c>
      <c r="M50" s="7">
        <f>ROUND(L50/12,0)</f>
        <v>50</v>
      </c>
      <c r="N50" s="7">
        <f>M50</f>
        <v>50</v>
      </c>
      <c r="O50" s="7">
        <f t="shared" ref="O50:O67" si="36">N50</f>
        <v>50</v>
      </c>
      <c r="P50" s="7">
        <f t="shared" ref="P50:P67" si="37">O50</f>
        <v>50</v>
      </c>
      <c r="Q50" s="7">
        <f t="shared" ref="Q50:Q67" si="38">P50</f>
        <v>50</v>
      </c>
      <c r="R50" s="7">
        <f t="shared" ref="R50:R67" si="39">Q50</f>
        <v>50</v>
      </c>
      <c r="S50" s="7">
        <f t="shared" ref="S50:S67" si="40">R50</f>
        <v>50</v>
      </c>
      <c r="T50" s="7">
        <f t="shared" ref="T50:T67" si="41">S50</f>
        <v>50</v>
      </c>
      <c r="U50" s="7">
        <f t="shared" ref="U50:U67" si="42">T50</f>
        <v>50</v>
      </c>
      <c r="V50" s="7">
        <f t="shared" ref="V50:V67" si="43">U50</f>
        <v>50</v>
      </c>
      <c r="W50" s="7">
        <f t="shared" ref="W50:W67" si="44">V50</f>
        <v>50</v>
      </c>
      <c r="X50" s="7">
        <f>L50-SUM(M50:W50)</f>
        <v>55</v>
      </c>
      <c r="Y50" s="43">
        <f>SUM(X50,K50)</f>
        <v>10055</v>
      </c>
    </row>
    <row r="51" spans="9:25" x14ac:dyDescent="0.3">
      <c r="I51" s="48" t="s">
        <v>106</v>
      </c>
      <c r="J51" s="48" t="s">
        <v>107</v>
      </c>
      <c r="K51" s="49">
        <v>200000</v>
      </c>
      <c r="L51" s="7">
        <f>ROUND(K51*E$21/E$3,0)</f>
        <v>12100</v>
      </c>
      <c r="M51" s="7">
        <f t="shared" ref="M51:M67" si="45">ROUND(L51/12,0)</f>
        <v>1008</v>
      </c>
      <c r="N51" s="7">
        <f t="shared" ref="N51:N67" si="46">M51</f>
        <v>1008</v>
      </c>
      <c r="O51" s="7">
        <f t="shared" si="36"/>
        <v>1008</v>
      </c>
      <c r="P51" s="7">
        <f t="shared" si="37"/>
        <v>1008</v>
      </c>
      <c r="Q51" s="7">
        <f t="shared" si="38"/>
        <v>1008</v>
      </c>
      <c r="R51" s="7">
        <f t="shared" si="39"/>
        <v>1008</v>
      </c>
      <c r="S51" s="7">
        <f t="shared" si="40"/>
        <v>1008</v>
      </c>
      <c r="T51" s="7">
        <f t="shared" si="41"/>
        <v>1008</v>
      </c>
      <c r="U51" s="7">
        <f t="shared" si="42"/>
        <v>1008</v>
      </c>
      <c r="V51" s="7">
        <f t="shared" si="43"/>
        <v>1008</v>
      </c>
      <c r="W51" s="7">
        <f t="shared" si="44"/>
        <v>1008</v>
      </c>
      <c r="X51" s="7">
        <f t="shared" ref="X51:X67" si="47">L51-SUM(M51:W51)</f>
        <v>1012</v>
      </c>
      <c r="Y51" s="43">
        <f t="shared" ref="Y51:Y67" si="48">SUM(X51,K51)</f>
        <v>201012</v>
      </c>
    </row>
    <row r="52" spans="9:25" x14ac:dyDescent="0.3">
      <c r="I52" s="48" t="s">
        <v>108</v>
      </c>
      <c r="J52" s="48" t="s">
        <v>109</v>
      </c>
      <c r="K52" s="49">
        <v>250000</v>
      </c>
      <c r="L52" s="7">
        <f>ROUND(K52*E$21/E$3,0)</f>
        <v>15125</v>
      </c>
      <c r="M52" s="7">
        <f t="shared" si="45"/>
        <v>1260</v>
      </c>
      <c r="N52" s="7">
        <f t="shared" si="46"/>
        <v>1260</v>
      </c>
      <c r="O52" s="7">
        <f t="shared" si="36"/>
        <v>1260</v>
      </c>
      <c r="P52" s="7">
        <f t="shared" si="37"/>
        <v>1260</v>
      </c>
      <c r="Q52" s="7">
        <f t="shared" si="38"/>
        <v>1260</v>
      </c>
      <c r="R52" s="7">
        <f t="shared" si="39"/>
        <v>1260</v>
      </c>
      <c r="S52" s="7">
        <f t="shared" si="40"/>
        <v>1260</v>
      </c>
      <c r="T52" s="7">
        <f t="shared" si="41"/>
        <v>1260</v>
      </c>
      <c r="U52" s="7">
        <f t="shared" si="42"/>
        <v>1260</v>
      </c>
      <c r="V52" s="7">
        <f t="shared" si="43"/>
        <v>1260</v>
      </c>
      <c r="W52" s="7">
        <f t="shared" si="44"/>
        <v>1260</v>
      </c>
      <c r="X52" s="7">
        <f t="shared" si="47"/>
        <v>1265</v>
      </c>
      <c r="Y52" s="43">
        <f t="shared" si="48"/>
        <v>251265</v>
      </c>
    </row>
    <row r="53" spans="9:25" x14ac:dyDescent="0.3">
      <c r="I53" s="48" t="s">
        <v>110</v>
      </c>
      <c r="J53" s="48" t="s">
        <v>111</v>
      </c>
      <c r="K53" s="49">
        <v>200000</v>
      </c>
      <c r="L53" s="7">
        <f>ROUND(K53*E$21/E$3,0)</f>
        <v>12100</v>
      </c>
      <c r="M53" s="7">
        <f t="shared" si="45"/>
        <v>1008</v>
      </c>
      <c r="N53" s="7">
        <f t="shared" si="46"/>
        <v>1008</v>
      </c>
      <c r="O53" s="7">
        <f t="shared" si="36"/>
        <v>1008</v>
      </c>
      <c r="P53" s="7">
        <f t="shared" si="37"/>
        <v>1008</v>
      </c>
      <c r="Q53" s="7">
        <f t="shared" si="38"/>
        <v>1008</v>
      </c>
      <c r="R53" s="7">
        <f t="shared" si="39"/>
        <v>1008</v>
      </c>
      <c r="S53" s="7">
        <f t="shared" si="40"/>
        <v>1008</v>
      </c>
      <c r="T53" s="7">
        <f t="shared" si="41"/>
        <v>1008</v>
      </c>
      <c r="U53" s="7">
        <f t="shared" si="42"/>
        <v>1008</v>
      </c>
      <c r="V53" s="7">
        <f t="shared" si="43"/>
        <v>1008</v>
      </c>
      <c r="W53" s="7">
        <f t="shared" si="44"/>
        <v>1008</v>
      </c>
      <c r="X53" s="7">
        <f t="shared" si="47"/>
        <v>1012</v>
      </c>
      <c r="Y53" s="43">
        <f t="shared" si="48"/>
        <v>201012</v>
      </c>
    </row>
    <row r="54" spans="9:25" x14ac:dyDescent="0.3">
      <c r="I54" s="48" t="s">
        <v>112</v>
      </c>
      <c r="J54" s="48" t="s">
        <v>113</v>
      </c>
      <c r="K54" s="49">
        <v>20000</v>
      </c>
      <c r="L54" s="7">
        <f>ROUND(K54*E$21/E$3,0)</f>
        <v>1210</v>
      </c>
      <c r="M54" s="7">
        <f t="shared" si="45"/>
        <v>101</v>
      </c>
      <c r="N54" s="7">
        <f t="shared" si="46"/>
        <v>101</v>
      </c>
      <c r="O54" s="7">
        <f t="shared" si="36"/>
        <v>101</v>
      </c>
      <c r="P54" s="7">
        <f t="shared" si="37"/>
        <v>101</v>
      </c>
      <c r="Q54" s="7">
        <f t="shared" si="38"/>
        <v>101</v>
      </c>
      <c r="R54" s="7">
        <f t="shared" si="39"/>
        <v>101</v>
      </c>
      <c r="S54" s="7">
        <f t="shared" si="40"/>
        <v>101</v>
      </c>
      <c r="T54" s="7">
        <f t="shared" si="41"/>
        <v>101</v>
      </c>
      <c r="U54" s="7">
        <f t="shared" si="42"/>
        <v>101</v>
      </c>
      <c r="V54" s="7">
        <f t="shared" si="43"/>
        <v>101</v>
      </c>
      <c r="W54" s="7">
        <f t="shared" si="44"/>
        <v>101</v>
      </c>
      <c r="X54" s="7">
        <f t="shared" si="47"/>
        <v>99</v>
      </c>
      <c r="Y54" s="43">
        <f t="shared" si="48"/>
        <v>20099</v>
      </c>
    </row>
    <row r="55" spans="9:25" x14ac:dyDescent="0.3">
      <c r="I55" s="48" t="s">
        <v>114</v>
      </c>
      <c r="J55" s="48" t="s">
        <v>115</v>
      </c>
      <c r="K55" s="49">
        <v>100000</v>
      </c>
      <c r="L55" s="7">
        <f>ROUND(K55*E$21/E$3,0)</f>
        <v>6050</v>
      </c>
      <c r="M55" s="7">
        <f t="shared" si="45"/>
        <v>504</v>
      </c>
      <c r="N55" s="7">
        <f t="shared" si="46"/>
        <v>504</v>
      </c>
      <c r="O55" s="7">
        <f t="shared" si="36"/>
        <v>504</v>
      </c>
      <c r="P55" s="7">
        <f t="shared" si="37"/>
        <v>504</v>
      </c>
      <c r="Q55" s="7">
        <f t="shared" si="38"/>
        <v>504</v>
      </c>
      <c r="R55" s="7">
        <f t="shared" si="39"/>
        <v>504</v>
      </c>
      <c r="S55" s="7">
        <f t="shared" si="40"/>
        <v>504</v>
      </c>
      <c r="T55" s="7">
        <f t="shared" si="41"/>
        <v>504</v>
      </c>
      <c r="U55" s="7">
        <f t="shared" si="42"/>
        <v>504</v>
      </c>
      <c r="V55" s="7">
        <f t="shared" si="43"/>
        <v>504</v>
      </c>
      <c r="W55" s="7">
        <f t="shared" si="44"/>
        <v>504</v>
      </c>
      <c r="X55" s="7">
        <f t="shared" si="47"/>
        <v>506</v>
      </c>
      <c r="Y55" s="43">
        <f t="shared" si="48"/>
        <v>100506</v>
      </c>
    </row>
    <row r="56" spans="9:25" x14ac:dyDescent="0.3">
      <c r="I56" s="48" t="s">
        <v>116</v>
      </c>
      <c r="J56" s="48" t="s">
        <v>117</v>
      </c>
      <c r="K56" s="49">
        <v>50000</v>
      </c>
      <c r="L56" s="7">
        <f>ROUND(K56*E$21/E$3,0)</f>
        <v>3025</v>
      </c>
      <c r="M56" s="7">
        <f t="shared" si="45"/>
        <v>252</v>
      </c>
      <c r="N56" s="7">
        <f t="shared" si="46"/>
        <v>252</v>
      </c>
      <c r="O56" s="7">
        <f t="shared" si="36"/>
        <v>252</v>
      </c>
      <c r="P56" s="7">
        <f t="shared" si="37"/>
        <v>252</v>
      </c>
      <c r="Q56" s="7">
        <f t="shared" si="38"/>
        <v>252</v>
      </c>
      <c r="R56" s="7">
        <f t="shared" si="39"/>
        <v>252</v>
      </c>
      <c r="S56" s="7">
        <f t="shared" si="40"/>
        <v>252</v>
      </c>
      <c r="T56" s="7">
        <f t="shared" si="41"/>
        <v>252</v>
      </c>
      <c r="U56" s="7">
        <f t="shared" si="42"/>
        <v>252</v>
      </c>
      <c r="V56" s="7">
        <f t="shared" si="43"/>
        <v>252</v>
      </c>
      <c r="W56" s="7">
        <f t="shared" si="44"/>
        <v>252</v>
      </c>
      <c r="X56" s="7">
        <f t="shared" si="47"/>
        <v>253</v>
      </c>
      <c r="Y56" s="43">
        <f t="shared" si="48"/>
        <v>50253</v>
      </c>
    </row>
    <row r="57" spans="9:25" x14ac:dyDescent="0.3">
      <c r="I57" s="48" t="s">
        <v>68</v>
      </c>
      <c r="J57" s="48" t="s">
        <v>69</v>
      </c>
      <c r="K57" s="49">
        <v>20000</v>
      </c>
      <c r="L57" s="7">
        <f>ROUND(K57*E$21/E$3,0)</f>
        <v>1210</v>
      </c>
      <c r="M57" s="7">
        <f t="shared" si="45"/>
        <v>101</v>
      </c>
      <c r="N57" s="7">
        <f t="shared" si="46"/>
        <v>101</v>
      </c>
      <c r="O57" s="7">
        <f t="shared" si="36"/>
        <v>101</v>
      </c>
      <c r="P57" s="7">
        <f t="shared" si="37"/>
        <v>101</v>
      </c>
      <c r="Q57" s="7">
        <f t="shared" si="38"/>
        <v>101</v>
      </c>
      <c r="R57" s="7">
        <f t="shared" si="39"/>
        <v>101</v>
      </c>
      <c r="S57" s="7">
        <f t="shared" si="40"/>
        <v>101</v>
      </c>
      <c r="T57" s="7">
        <f t="shared" si="41"/>
        <v>101</v>
      </c>
      <c r="U57" s="7">
        <f t="shared" si="42"/>
        <v>101</v>
      </c>
      <c r="V57" s="7">
        <f t="shared" si="43"/>
        <v>101</v>
      </c>
      <c r="W57" s="7">
        <f t="shared" si="44"/>
        <v>101</v>
      </c>
      <c r="X57" s="7">
        <f t="shared" si="47"/>
        <v>99</v>
      </c>
      <c r="Y57" s="43">
        <f t="shared" si="48"/>
        <v>20099</v>
      </c>
    </row>
    <row r="58" spans="9:25" x14ac:dyDescent="0.3">
      <c r="I58" s="48" t="s">
        <v>118</v>
      </c>
      <c r="J58" s="48" t="s">
        <v>119</v>
      </c>
      <c r="K58" s="49">
        <v>100000</v>
      </c>
      <c r="L58" s="7">
        <f>ROUND(K58*E$21/E$3,0)</f>
        <v>6050</v>
      </c>
      <c r="M58" s="7">
        <f t="shared" si="45"/>
        <v>504</v>
      </c>
      <c r="N58" s="7">
        <f t="shared" si="46"/>
        <v>504</v>
      </c>
      <c r="O58" s="7">
        <f t="shared" si="36"/>
        <v>504</v>
      </c>
      <c r="P58" s="7">
        <f t="shared" si="37"/>
        <v>504</v>
      </c>
      <c r="Q58" s="7">
        <f t="shared" si="38"/>
        <v>504</v>
      </c>
      <c r="R58" s="7">
        <f t="shared" si="39"/>
        <v>504</v>
      </c>
      <c r="S58" s="7">
        <f t="shared" si="40"/>
        <v>504</v>
      </c>
      <c r="T58" s="7">
        <f t="shared" si="41"/>
        <v>504</v>
      </c>
      <c r="U58" s="7">
        <f t="shared" si="42"/>
        <v>504</v>
      </c>
      <c r="V58" s="7">
        <f t="shared" si="43"/>
        <v>504</v>
      </c>
      <c r="W58" s="7">
        <f t="shared" si="44"/>
        <v>504</v>
      </c>
      <c r="X58" s="7">
        <f t="shared" si="47"/>
        <v>506</v>
      </c>
      <c r="Y58" s="43">
        <f t="shared" si="48"/>
        <v>100506</v>
      </c>
    </row>
    <row r="59" spans="9:25" x14ac:dyDescent="0.3">
      <c r="I59" s="48" t="s">
        <v>120</v>
      </c>
      <c r="J59" s="48" t="s">
        <v>121</v>
      </c>
      <c r="K59" s="49">
        <v>10000</v>
      </c>
      <c r="L59" s="7">
        <f>ROUND(K59*E$21/E$3,0)</f>
        <v>605</v>
      </c>
      <c r="M59" s="7">
        <f t="shared" si="45"/>
        <v>50</v>
      </c>
      <c r="N59" s="7">
        <f t="shared" si="46"/>
        <v>50</v>
      </c>
      <c r="O59" s="7">
        <f t="shared" si="36"/>
        <v>50</v>
      </c>
      <c r="P59" s="7">
        <f t="shared" si="37"/>
        <v>50</v>
      </c>
      <c r="Q59" s="7">
        <f t="shared" si="38"/>
        <v>50</v>
      </c>
      <c r="R59" s="7">
        <f t="shared" si="39"/>
        <v>50</v>
      </c>
      <c r="S59" s="7">
        <f t="shared" si="40"/>
        <v>50</v>
      </c>
      <c r="T59" s="7">
        <f t="shared" si="41"/>
        <v>50</v>
      </c>
      <c r="U59" s="7">
        <f t="shared" si="42"/>
        <v>50</v>
      </c>
      <c r="V59" s="7">
        <f t="shared" si="43"/>
        <v>50</v>
      </c>
      <c r="W59" s="7">
        <f t="shared" si="44"/>
        <v>50</v>
      </c>
      <c r="X59" s="7">
        <f t="shared" si="47"/>
        <v>55</v>
      </c>
      <c r="Y59" s="43">
        <f t="shared" si="48"/>
        <v>10055</v>
      </c>
    </row>
    <row r="60" spans="9:25" x14ac:dyDescent="0.3">
      <c r="I60" s="48" t="s">
        <v>122</v>
      </c>
      <c r="J60" s="48" t="s">
        <v>123</v>
      </c>
      <c r="K60" s="49">
        <v>150000</v>
      </c>
      <c r="L60" s="7">
        <f>ROUND(K60*E$21/E$3,0)</f>
        <v>9075</v>
      </c>
      <c r="M60" s="7">
        <f t="shared" si="45"/>
        <v>756</v>
      </c>
      <c r="N60" s="7">
        <f t="shared" si="46"/>
        <v>756</v>
      </c>
      <c r="O60" s="7">
        <f t="shared" si="36"/>
        <v>756</v>
      </c>
      <c r="P60" s="7">
        <f t="shared" si="37"/>
        <v>756</v>
      </c>
      <c r="Q60" s="7">
        <f t="shared" si="38"/>
        <v>756</v>
      </c>
      <c r="R60" s="7">
        <f t="shared" si="39"/>
        <v>756</v>
      </c>
      <c r="S60" s="7">
        <f t="shared" si="40"/>
        <v>756</v>
      </c>
      <c r="T60" s="7">
        <f t="shared" si="41"/>
        <v>756</v>
      </c>
      <c r="U60" s="7">
        <f t="shared" si="42"/>
        <v>756</v>
      </c>
      <c r="V60" s="7">
        <f t="shared" si="43"/>
        <v>756</v>
      </c>
      <c r="W60" s="7">
        <f t="shared" si="44"/>
        <v>756</v>
      </c>
      <c r="X60" s="7">
        <f t="shared" si="47"/>
        <v>759</v>
      </c>
      <c r="Y60" s="43">
        <f t="shared" si="48"/>
        <v>150759</v>
      </c>
    </row>
    <row r="61" spans="9:25" x14ac:dyDescent="0.3">
      <c r="I61" s="48" t="s">
        <v>49</v>
      </c>
      <c r="J61" s="48" t="s">
        <v>52</v>
      </c>
      <c r="K61" s="49">
        <v>20000</v>
      </c>
      <c r="L61" s="7">
        <f>ROUND(K61*E$21/E$3,0)</f>
        <v>1210</v>
      </c>
      <c r="M61" s="7">
        <f t="shared" si="45"/>
        <v>101</v>
      </c>
      <c r="N61" s="7">
        <f t="shared" si="46"/>
        <v>101</v>
      </c>
      <c r="O61" s="7">
        <f t="shared" si="36"/>
        <v>101</v>
      </c>
      <c r="P61" s="7">
        <f t="shared" si="37"/>
        <v>101</v>
      </c>
      <c r="Q61" s="7">
        <f t="shared" si="38"/>
        <v>101</v>
      </c>
      <c r="R61" s="7">
        <f t="shared" si="39"/>
        <v>101</v>
      </c>
      <c r="S61" s="7">
        <f t="shared" si="40"/>
        <v>101</v>
      </c>
      <c r="T61" s="7">
        <f t="shared" si="41"/>
        <v>101</v>
      </c>
      <c r="U61" s="7">
        <f t="shared" si="42"/>
        <v>101</v>
      </c>
      <c r="V61" s="7">
        <f t="shared" si="43"/>
        <v>101</v>
      </c>
      <c r="W61" s="7">
        <f t="shared" si="44"/>
        <v>101</v>
      </c>
      <c r="X61" s="7">
        <f t="shared" si="47"/>
        <v>99</v>
      </c>
      <c r="Y61" s="43">
        <f t="shared" si="48"/>
        <v>20099</v>
      </c>
    </row>
    <row r="62" spans="9:25" x14ac:dyDescent="0.3">
      <c r="I62" s="48" t="s">
        <v>53</v>
      </c>
      <c r="J62" s="48" t="s">
        <v>54</v>
      </c>
      <c r="K62" s="49">
        <v>560000</v>
      </c>
      <c r="L62" s="7">
        <f>ROUND(K62*E$21/E$3,0)</f>
        <v>33880</v>
      </c>
      <c r="M62" s="7">
        <f t="shared" si="45"/>
        <v>2823</v>
      </c>
      <c r="N62" s="7">
        <f t="shared" si="46"/>
        <v>2823</v>
      </c>
      <c r="O62" s="7">
        <f t="shared" si="36"/>
        <v>2823</v>
      </c>
      <c r="P62" s="7">
        <f t="shared" si="37"/>
        <v>2823</v>
      </c>
      <c r="Q62" s="7">
        <f t="shared" si="38"/>
        <v>2823</v>
      </c>
      <c r="R62" s="7">
        <f t="shared" si="39"/>
        <v>2823</v>
      </c>
      <c r="S62" s="7">
        <f t="shared" si="40"/>
        <v>2823</v>
      </c>
      <c r="T62" s="7">
        <f t="shared" si="41"/>
        <v>2823</v>
      </c>
      <c r="U62" s="7">
        <f t="shared" si="42"/>
        <v>2823</v>
      </c>
      <c r="V62" s="7">
        <f t="shared" si="43"/>
        <v>2823</v>
      </c>
      <c r="W62" s="7">
        <f t="shared" si="44"/>
        <v>2823</v>
      </c>
      <c r="X62" s="7">
        <f t="shared" si="47"/>
        <v>2827</v>
      </c>
      <c r="Y62" s="43">
        <f t="shared" si="48"/>
        <v>562827</v>
      </c>
    </row>
    <row r="63" spans="9:25" x14ac:dyDescent="0.3">
      <c r="I63" s="48" t="s">
        <v>124</v>
      </c>
      <c r="J63" s="48" t="s">
        <v>125</v>
      </c>
      <c r="K63" s="49">
        <v>50000</v>
      </c>
      <c r="L63" s="7">
        <f>ROUND(K63*E$21/E$3,0)</f>
        <v>3025</v>
      </c>
      <c r="M63" s="7">
        <f t="shared" si="45"/>
        <v>252</v>
      </c>
      <c r="N63" s="7">
        <f t="shared" si="46"/>
        <v>252</v>
      </c>
      <c r="O63" s="7">
        <f t="shared" si="36"/>
        <v>252</v>
      </c>
      <c r="P63" s="7">
        <f t="shared" si="37"/>
        <v>252</v>
      </c>
      <c r="Q63" s="7">
        <f t="shared" si="38"/>
        <v>252</v>
      </c>
      <c r="R63" s="7">
        <f t="shared" si="39"/>
        <v>252</v>
      </c>
      <c r="S63" s="7">
        <f t="shared" si="40"/>
        <v>252</v>
      </c>
      <c r="T63" s="7">
        <f t="shared" si="41"/>
        <v>252</v>
      </c>
      <c r="U63" s="7">
        <f t="shared" si="42"/>
        <v>252</v>
      </c>
      <c r="V63" s="7">
        <f t="shared" si="43"/>
        <v>252</v>
      </c>
      <c r="W63" s="7">
        <f t="shared" si="44"/>
        <v>252</v>
      </c>
      <c r="X63" s="7">
        <f t="shared" si="47"/>
        <v>253</v>
      </c>
      <c r="Y63" s="43">
        <f t="shared" si="48"/>
        <v>50253</v>
      </c>
    </row>
    <row r="64" spans="9:25" x14ac:dyDescent="0.3">
      <c r="I64" s="48" t="s">
        <v>126</v>
      </c>
      <c r="J64" s="48" t="s">
        <v>127</v>
      </c>
      <c r="K64" s="49">
        <v>50000</v>
      </c>
      <c r="L64" s="7">
        <f>ROUND(K64*E$21/E$3,0)</f>
        <v>3025</v>
      </c>
      <c r="M64" s="7">
        <f t="shared" si="45"/>
        <v>252</v>
      </c>
      <c r="N64" s="7">
        <f t="shared" si="46"/>
        <v>252</v>
      </c>
      <c r="O64" s="7">
        <f t="shared" si="36"/>
        <v>252</v>
      </c>
      <c r="P64" s="7">
        <f t="shared" si="37"/>
        <v>252</v>
      </c>
      <c r="Q64" s="7">
        <f t="shared" si="38"/>
        <v>252</v>
      </c>
      <c r="R64" s="7">
        <f t="shared" si="39"/>
        <v>252</v>
      </c>
      <c r="S64" s="7">
        <f t="shared" si="40"/>
        <v>252</v>
      </c>
      <c r="T64" s="7">
        <f t="shared" si="41"/>
        <v>252</v>
      </c>
      <c r="U64" s="7">
        <f t="shared" si="42"/>
        <v>252</v>
      </c>
      <c r="V64" s="7">
        <f t="shared" si="43"/>
        <v>252</v>
      </c>
      <c r="W64" s="7">
        <f t="shared" si="44"/>
        <v>252</v>
      </c>
      <c r="X64" s="7">
        <f t="shared" si="47"/>
        <v>253</v>
      </c>
      <c r="Y64" s="43">
        <f t="shared" si="48"/>
        <v>50253</v>
      </c>
    </row>
    <row r="65" spans="2:25" x14ac:dyDescent="0.3">
      <c r="I65" s="48" t="s">
        <v>126</v>
      </c>
      <c r="J65" s="48" t="s">
        <v>127</v>
      </c>
      <c r="K65" s="49">
        <v>50000</v>
      </c>
      <c r="L65" s="7">
        <f>ROUND(K65*E$21/E$3,0)</f>
        <v>3025</v>
      </c>
      <c r="M65" s="7">
        <f t="shared" si="45"/>
        <v>252</v>
      </c>
      <c r="N65" s="7">
        <f t="shared" si="46"/>
        <v>252</v>
      </c>
      <c r="O65" s="7">
        <f t="shared" si="36"/>
        <v>252</v>
      </c>
      <c r="P65" s="7">
        <f t="shared" si="37"/>
        <v>252</v>
      </c>
      <c r="Q65" s="7">
        <f t="shared" si="38"/>
        <v>252</v>
      </c>
      <c r="R65" s="7">
        <f t="shared" si="39"/>
        <v>252</v>
      </c>
      <c r="S65" s="7">
        <f t="shared" si="40"/>
        <v>252</v>
      </c>
      <c r="T65" s="7">
        <f t="shared" si="41"/>
        <v>252</v>
      </c>
      <c r="U65" s="7">
        <f t="shared" si="42"/>
        <v>252</v>
      </c>
      <c r="V65" s="7">
        <f t="shared" si="43"/>
        <v>252</v>
      </c>
      <c r="W65" s="7">
        <f t="shared" si="44"/>
        <v>252</v>
      </c>
      <c r="X65" s="7">
        <f t="shared" si="47"/>
        <v>253</v>
      </c>
      <c r="Y65" s="43">
        <f t="shared" si="48"/>
        <v>50253</v>
      </c>
    </row>
    <row r="66" spans="2:25" x14ac:dyDescent="0.3">
      <c r="I66" s="48" t="s">
        <v>80</v>
      </c>
      <c r="J66" s="48" t="s">
        <v>81</v>
      </c>
      <c r="K66" s="49">
        <v>10000</v>
      </c>
      <c r="L66" s="7">
        <f>ROUND(K66*E$21/E$3,0)</f>
        <v>605</v>
      </c>
      <c r="M66" s="7">
        <f t="shared" si="45"/>
        <v>50</v>
      </c>
      <c r="N66" s="7">
        <f t="shared" si="46"/>
        <v>50</v>
      </c>
      <c r="O66" s="7">
        <f t="shared" si="36"/>
        <v>50</v>
      </c>
      <c r="P66" s="7">
        <f t="shared" si="37"/>
        <v>50</v>
      </c>
      <c r="Q66" s="7">
        <f t="shared" si="38"/>
        <v>50</v>
      </c>
      <c r="R66" s="7">
        <f t="shared" si="39"/>
        <v>50</v>
      </c>
      <c r="S66" s="7">
        <f t="shared" si="40"/>
        <v>50</v>
      </c>
      <c r="T66" s="7">
        <f t="shared" si="41"/>
        <v>50</v>
      </c>
      <c r="U66" s="7">
        <f t="shared" si="42"/>
        <v>50</v>
      </c>
      <c r="V66" s="7">
        <f t="shared" si="43"/>
        <v>50</v>
      </c>
      <c r="W66" s="7">
        <f t="shared" si="44"/>
        <v>50</v>
      </c>
      <c r="X66" s="7">
        <f t="shared" si="47"/>
        <v>55</v>
      </c>
      <c r="Y66" s="43">
        <f t="shared" si="48"/>
        <v>10055</v>
      </c>
    </row>
    <row r="67" spans="2:25" x14ac:dyDescent="0.3">
      <c r="I67" s="48" t="s">
        <v>92</v>
      </c>
      <c r="J67" s="48" t="s">
        <v>93</v>
      </c>
      <c r="K67" s="49">
        <v>50000</v>
      </c>
      <c r="L67" s="7">
        <f>ROUND(K67*E$21/E$3,0)</f>
        <v>3025</v>
      </c>
      <c r="M67" s="7">
        <f t="shared" si="45"/>
        <v>252</v>
      </c>
      <c r="N67" s="7">
        <f t="shared" si="46"/>
        <v>252</v>
      </c>
      <c r="O67" s="7">
        <f t="shared" si="36"/>
        <v>252</v>
      </c>
      <c r="P67" s="7">
        <f t="shared" si="37"/>
        <v>252</v>
      </c>
      <c r="Q67" s="7">
        <f t="shared" si="38"/>
        <v>252</v>
      </c>
      <c r="R67" s="7">
        <f t="shared" si="39"/>
        <v>252</v>
      </c>
      <c r="S67" s="7">
        <f t="shared" si="40"/>
        <v>252</v>
      </c>
      <c r="T67" s="7">
        <f t="shared" si="41"/>
        <v>252</v>
      </c>
      <c r="U67" s="7">
        <f t="shared" si="42"/>
        <v>252</v>
      </c>
      <c r="V67" s="7">
        <f t="shared" si="43"/>
        <v>252</v>
      </c>
      <c r="W67" s="7">
        <f t="shared" si="44"/>
        <v>252</v>
      </c>
      <c r="X67" s="7">
        <f t="shared" si="47"/>
        <v>253</v>
      </c>
      <c r="Y67" s="43">
        <f t="shared" si="48"/>
        <v>50253</v>
      </c>
    </row>
    <row r="68" spans="2:25" x14ac:dyDescent="0.3">
      <c r="K68" s="17">
        <f>SUM(K50:K67)</f>
        <v>1900000</v>
      </c>
      <c r="L68" s="7">
        <f>ROUND(K68*E$21/E$3,0)</f>
        <v>114950</v>
      </c>
      <c r="M68" s="7">
        <f>SUM(M50:M67)</f>
        <v>9576</v>
      </c>
      <c r="N68" s="7">
        <f>SUM(N50:N67)</f>
        <v>9576</v>
      </c>
      <c r="O68" s="7">
        <f>SUM(O50:O67)</f>
        <v>9576</v>
      </c>
      <c r="P68" s="7">
        <f>SUM(P50:P67)</f>
        <v>9576</v>
      </c>
      <c r="Q68" s="7">
        <f>SUM(Q50:Q67)</f>
        <v>9576</v>
      </c>
      <c r="R68" s="7">
        <f>SUM(R50:R67)</f>
        <v>9576</v>
      </c>
      <c r="S68" s="7">
        <f>SUM(S50:S67)</f>
        <v>9576</v>
      </c>
      <c r="T68" s="7">
        <f>SUM(T50:T67)</f>
        <v>9576</v>
      </c>
      <c r="U68" s="7">
        <f>SUM(U50:U67)</f>
        <v>9576</v>
      </c>
      <c r="V68" s="7">
        <f>SUM(V50:V67)</f>
        <v>9576</v>
      </c>
      <c r="W68" s="7">
        <f>SUM(W50:W67)</f>
        <v>9576</v>
      </c>
      <c r="X68" s="7">
        <f>SUM(X50:X67)</f>
        <v>9614</v>
      </c>
      <c r="Y68" s="7">
        <f>SUM(Y50:Y67)</f>
        <v>1909614</v>
      </c>
    </row>
    <row r="69" spans="2:25" x14ac:dyDescent="0.3">
      <c r="J69" s="52"/>
      <c r="K69" s="53"/>
      <c r="L69" s="56">
        <f>E22</f>
        <v>114950</v>
      </c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</row>
    <row r="71" spans="2:25" x14ac:dyDescent="0.3">
      <c r="G71" s="4"/>
    </row>
    <row r="72" spans="2:25" x14ac:dyDescent="0.3">
      <c r="G72" s="4"/>
    </row>
    <row r="73" spans="2:25" ht="24.6" customHeight="1" x14ac:dyDescent="0.3">
      <c r="G73" s="4"/>
      <c r="J73" s="1" t="s">
        <v>46</v>
      </c>
      <c r="K73" s="17">
        <f>K17+K31+K68+K43</f>
        <v>4550000</v>
      </c>
      <c r="L73" s="16">
        <f>L17+L31+L68+L43</f>
        <v>275275</v>
      </c>
      <c r="M73" s="16">
        <f>M17+M31+M68+M43</f>
        <v>22933</v>
      </c>
      <c r="N73" s="16">
        <f>N17+N31+N68+N43</f>
        <v>22933</v>
      </c>
      <c r="O73" s="16">
        <f>O17+O31+O68+O43</f>
        <v>22933</v>
      </c>
      <c r="P73" s="16">
        <f>P17+P31+P68+P43</f>
        <v>22933</v>
      </c>
      <c r="Q73" s="16">
        <f>Q17+Q31+Q68+Q43</f>
        <v>22933</v>
      </c>
      <c r="R73" s="16">
        <f>R17+R31+R68+R43</f>
        <v>22933</v>
      </c>
      <c r="S73" s="16">
        <f>S17+S31+S68+S43</f>
        <v>22933</v>
      </c>
      <c r="T73" s="16">
        <f>T17+T31+T68+T43</f>
        <v>22933</v>
      </c>
      <c r="U73" s="16">
        <f>U17+U31+U68+U43</f>
        <v>22933</v>
      </c>
      <c r="V73" s="16">
        <f>V17+V31+V68+V43</f>
        <v>22933</v>
      </c>
      <c r="W73" s="16">
        <f>W17+W31+W68+W43</f>
        <v>22933</v>
      </c>
      <c r="X73" s="16">
        <f>X17+X31+X68+X43</f>
        <v>23012</v>
      </c>
      <c r="Y73" s="16">
        <f>Y17+Y31+Y68+Y43</f>
        <v>4573012</v>
      </c>
    </row>
    <row r="74" spans="2:25" ht="25.2" customHeight="1" x14ac:dyDescent="0.3">
      <c r="G74" s="4"/>
    </row>
    <row r="77" spans="2:25" x14ac:dyDescent="0.3">
      <c r="L77" s="1" t="s">
        <v>55</v>
      </c>
    </row>
    <row r="78" spans="2:25" x14ac:dyDescent="0.3">
      <c r="B78" s="1"/>
      <c r="C78" s="1"/>
      <c r="D78" s="1"/>
      <c r="E78" s="1"/>
      <c r="F78" s="1"/>
      <c r="K78" s="13" t="s">
        <v>19</v>
      </c>
      <c r="L78" s="16">
        <f>SUM(M80:X80)</f>
        <v>337117</v>
      </c>
      <c r="M78" s="1" t="s">
        <v>0</v>
      </c>
      <c r="N78" s="1" t="s">
        <v>0</v>
      </c>
      <c r="O78" s="1" t="s">
        <v>0</v>
      </c>
      <c r="P78" s="1" t="s">
        <v>0</v>
      </c>
      <c r="Q78" s="1" t="s">
        <v>0</v>
      </c>
      <c r="R78" s="1" t="s">
        <v>0</v>
      </c>
      <c r="S78" s="1" t="s">
        <v>0</v>
      </c>
      <c r="T78" s="1" t="s">
        <v>0</v>
      </c>
      <c r="U78" s="1" t="s">
        <v>0</v>
      </c>
      <c r="V78" s="1" t="s">
        <v>0</v>
      </c>
      <c r="W78" s="1" t="s">
        <v>0</v>
      </c>
      <c r="X78" s="1" t="s">
        <v>0</v>
      </c>
      <c r="Y78" s="1" t="s">
        <v>1</v>
      </c>
    </row>
    <row r="79" spans="2:25" x14ac:dyDescent="0.3">
      <c r="B79" s="1"/>
      <c r="C79" s="1"/>
      <c r="D79" s="1"/>
      <c r="E79" s="1"/>
      <c r="F79" s="1"/>
      <c r="K79" s="5" t="s">
        <v>20</v>
      </c>
      <c r="L79" s="6" t="s">
        <v>6</v>
      </c>
      <c r="M79" s="42" t="s">
        <v>137</v>
      </c>
      <c r="N79" s="42" t="s">
        <v>138</v>
      </c>
      <c r="O79" s="42" t="s">
        <v>139</v>
      </c>
      <c r="P79" s="42" t="s">
        <v>140</v>
      </c>
      <c r="Q79" s="42" t="s">
        <v>141</v>
      </c>
      <c r="R79" s="42" t="s">
        <v>142</v>
      </c>
      <c r="S79" s="42" t="s">
        <v>143</v>
      </c>
      <c r="T79" s="42" t="s">
        <v>144</v>
      </c>
      <c r="U79" s="42" t="s">
        <v>145</v>
      </c>
      <c r="V79" s="42" t="s">
        <v>146</v>
      </c>
      <c r="W79" s="42" t="s">
        <v>147</v>
      </c>
      <c r="X79" s="42" t="s">
        <v>148</v>
      </c>
      <c r="Y79" s="42" t="s">
        <v>148</v>
      </c>
    </row>
    <row r="80" spans="2:25" x14ac:dyDescent="0.3">
      <c r="B80" s="1"/>
      <c r="C80" s="1"/>
      <c r="D80" s="1"/>
      <c r="E80" s="1"/>
      <c r="F80" s="1"/>
      <c r="I80" s="11"/>
      <c r="J80" s="11" t="s">
        <v>21</v>
      </c>
      <c r="K80" s="12">
        <f>F6</f>
        <v>4494892</v>
      </c>
      <c r="L80" s="12">
        <f>ROUND(F6*C7*12/12,0)</f>
        <v>337117</v>
      </c>
      <c r="M80" s="25">
        <f>ROUNDDOWN(L80/12,0)</f>
        <v>28093</v>
      </c>
      <c r="N80" s="25">
        <f>M80</f>
        <v>28093</v>
      </c>
      <c r="O80" s="25">
        <f t="shared" ref="O80:W80" si="49">N80</f>
        <v>28093</v>
      </c>
      <c r="P80" s="25">
        <f t="shared" si="49"/>
        <v>28093</v>
      </c>
      <c r="Q80" s="25">
        <f t="shared" si="49"/>
        <v>28093</v>
      </c>
      <c r="R80" s="25">
        <f t="shared" si="49"/>
        <v>28093</v>
      </c>
      <c r="S80" s="25">
        <f t="shared" si="49"/>
        <v>28093</v>
      </c>
      <c r="T80" s="25">
        <f t="shared" si="49"/>
        <v>28093</v>
      </c>
      <c r="U80" s="25">
        <f t="shared" si="49"/>
        <v>28093</v>
      </c>
      <c r="V80" s="25">
        <f t="shared" si="49"/>
        <v>28093</v>
      </c>
      <c r="W80" s="25">
        <f t="shared" si="49"/>
        <v>28093</v>
      </c>
      <c r="X80" s="25">
        <f>L80-SUM(M80:W80)</f>
        <v>28094</v>
      </c>
      <c r="Y80" s="44">
        <f>K80+X80</f>
        <v>4522986</v>
      </c>
    </row>
    <row r="81" spans="2:25" x14ac:dyDescent="0.3">
      <c r="B81" s="1"/>
      <c r="C81" s="1"/>
      <c r="D81" s="1"/>
      <c r="E81" s="1"/>
      <c r="F81" s="1"/>
      <c r="I81" s="11"/>
      <c r="J81" s="11" t="s">
        <v>22</v>
      </c>
      <c r="K81" s="12">
        <f t="shared" ref="K81:W81" si="50">K73</f>
        <v>4550000</v>
      </c>
      <c r="L81" s="12">
        <f>L73</f>
        <v>275275</v>
      </c>
      <c r="M81" s="26">
        <f>M73</f>
        <v>22933</v>
      </c>
      <c r="N81" s="26">
        <f t="shared" si="50"/>
        <v>22933</v>
      </c>
      <c r="O81" s="26">
        <f t="shared" si="50"/>
        <v>22933</v>
      </c>
      <c r="P81" s="26">
        <f t="shared" si="50"/>
        <v>22933</v>
      </c>
      <c r="Q81" s="26">
        <f t="shared" si="50"/>
        <v>22933</v>
      </c>
      <c r="R81" s="26">
        <f t="shared" si="50"/>
        <v>22933</v>
      </c>
      <c r="S81" s="26">
        <f t="shared" si="50"/>
        <v>22933</v>
      </c>
      <c r="T81" s="26">
        <f t="shared" si="50"/>
        <v>22933</v>
      </c>
      <c r="U81" s="26">
        <f t="shared" si="50"/>
        <v>22933</v>
      </c>
      <c r="V81" s="26">
        <f t="shared" si="50"/>
        <v>22933</v>
      </c>
      <c r="W81" s="26">
        <f t="shared" si="50"/>
        <v>22933</v>
      </c>
      <c r="X81" s="26">
        <f>X73</f>
        <v>23012</v>
      </c>
      <c r="Y81" s="26">
        <f>Y73</f>
        <v>4573012</v>
      </c>
    </row>
    <row r="82" spans="2:25" x14ac:dyDescent="0.3">
      <c r="B82" s="1"/>
      <c r="C82" s="1"/>
      <c r="D82" s="1"/>
      <c r="E82" s="1"/>
      <c r="F82" s="1"/>
      <c r="I82" s="11"/>
      <c r="J82" s="11" t="s">
        <v>31</v>
      </c>
      <c r="K82" s="12">
        <f>K81-K80</f>
        <v>55108</v>
      </c>
      <c r="L82" s="12">
        <f>SUM(M82:X82)</f>
        <v>55108</v>
      </c>
      <c r="M82" s="27">
        <f t="shared" ref="M82:X82" si="51">M80-M81-M83</f>
        <v>0</v>
      </c>
      <c r="N82" s="27">
        <f t="shared" si="51"/>
        <v>3586</v>
      </c>
      <c r="O82" s="27">
        <f t="shared" si="51"/>
        <v>5160</v>
      </c>
      <c r="P82" s="27">
        <f t="shared" si="51"/>
        <v>5160</v>
      </c>
      <c r="Q82" s="27">
        <f t="shared" si="51"/>
        <v>5160</v>
      </c>
      <c r="R82" s="27">
        <f t="shared" si="51"/>
        <v>5160</v>
      </c>
      <c r="S82" s="27">
        <f t="shared" si="51"/>
        <v>5160</v>
      </c>
      <c r="T82" s="27">
        <f t="shared" si="51"/>
        <v>5160</v>
      </c>
      <c r="U82" s="27">
        <f t="shared" si="51"/>
        <v>5160</v>
      </c>
      <c r="V82" s="27">
        <f t="shared" si="51"/>
        <v>5160</v>
      </c>
      <c r="W82" s="27">
        <f t="shared" si="51"/>
        <v>5160</v>
      </c>
      <c r="X82" s="27">
        <f t="shared" si="51"/>
        <v>5082</v>
      </c>
      <c r="Y82" s="46"/>
    </row>
    <row r="83" spans="2:25" x14ac:dyDescent="0.3">
      <c r="B83" s="1"/>
      <c r="C83" s="1"/>
      <c r="D83" s="1"/>
      <c r="E83" s="1"/>
      <c r="F83" s="1"/>
      <c r="I83" s="11"/>
      <c r="J83" s="11" t="s">
        <v>23</v>
      </c>
      <c r="K83" s="60">
        <f>F24-1</f>
        <v>6734</v>
      </c>
      <c r="L83" s="12">
        <f>SUM(M83:X83)</f>
        <v>6734</v>
      </c>
      <c r="M83" s="34">
        <f>IF( M80-M81&gt;=K83,K83, M80-M81)</f>
        <v>5160</v>
      </c>
      <c r="N83" s="34">
        <f>IF(K83-M83&gt;=N80-N81,N80-N81,K83-M83)</f>
        <v>1574</v>
      </c>
      <c r="O83" s="34">
        <f>IF(K83-SUM(M83:N83)&gt;=O80-O81,O80-O81,K83-SUM(M83:N83))</f>
        <v>0</v>
      </c>
      <c r="P83" s="34">
        <f>IF(K83-SUM(M83:O83)&gt;=P80-P81,P80-P81,K83-SUM(M83:O83))</f>
        <v>0</v>
      </c>
      <c r="Q83" s="34">
        <f>IF(K83-SUM(M83:P83)&gt;=Q80-Q81,Q80-Q81,K83-SUM(M83:P83))</f>
        <v>0</v>
      </c>
      <c r="R83" s="34">
        <f>IF(K83-SUM(M83:Q83)&gt;=R80-R81,R80-R81,K83-SUM(M83:Q83))</f>
        <v>0</v>
      </c>
      <c r="S83" s="34">
        <f>IF(K83-SUM(M83:R83)&gt;=S80-S81,S80-S81,K83-SUM(M83:R83))</f>
        <v>0</v>
      </c>
      <c r="T83" s="34">
        <f>IF(K83-SUM(M83:S83)&gt;=T80-T81,T80-T81,K83-SUM(M83:S83))</f>
        <v>0</v>
      </c>
      <c r="U83" s="34">
        <f>IF(K83-SUM(M83:T83)&gt;=U80-U81,U80-U81,K83-SUM(M83:T83))</f>
        <v>0</v>
      </c>
      <c r="V83" s="34">
        <f>IF(K83-SUM(M83:U83)&gt;=V80-V81,V80-V81,K83-SUM(M83:U83))</f>
        <v>0</v>
      </c>
      <c r="W83" s="34">
        <f>IF(K83-SUM(M83:V83)&gt;=W80-W81,W80-W81,K83-SUM(M83:V83))</f>
        <v>0</v>
      </c>
      <c r="X83" s="34">
        <f>IF(K83-SUM(M83:W83)&gt;=X80-X81,X80-X81,K83-SUM(M83:W83))</f>
        <v>0</v>
      </c>
      <c r="Y83" s="45"/>
    </row>
    <row r="84" spans="2:25" x14ac:dyDescent="0.3">
      <c r="B84" s="1"/>
      <c r="C84" s="1"/>
      <c r="D84" s="1"/>
      <c r="E84" s="1"/>
      <c r="F84" s="1"/>
      <c r="I84" s="10"/>
      <c r="K84" s="59" t="s">
        <v>158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28" t="s">
        <v>25</v>
      </c>
      <c r="Y84" s="29">
        <f>SUM(Y80)</f>
        <v>4522986</v>
      </c>
    </row>
    <row r="85" spans="2:25" x14ac:dyDescent="0.3">
      <c r="B85" s="1"/>
      <c r="C85" s="1"/>
      <c r="D85" s="1"/>
      <c r="E85" s="1"/>
      <c r="F85" s="1"/>
      <c r="I85" s="13"/>
      <c r="K85" s="13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30" t="s">
        <v>26</v>
      </c>
      <c r="Y85" s="31">
        <f>-SUM(Y81)</f>
        <v>-4573012</v>
      </c>
    </row>
    <row r="86" spans="2:25" ht="16.8" thickBot="1" x14ac:dyDescent="0.35">
      <c r="B86" s="1"/>
      <c r="C86" s="1"/>
      <c r="D86" s="1"/>
      <c r="E86" s="1"/>
      <c r="F86" s="1"/>
      <c r="L86" s="8"/>
      <c r="X86" s="32" t="s">
        <v>45</v>
      </c>
      <c r="Y86" s="33">
        <f>SUM(M82:W82)</f>
        <v>50026</v>
      </c>
    </row>
    <row r="87" spans="2:25" ht="16.8" thickBot="1" x14ac:dyDescent="0.35">
      <c r="B87" s="1"/>
      <c r="C87" s="1"/>
      <c r="D87" s="1"/>
      <c r="E87" s="1"/>
      <c r="F87" s="1"/>
      <c r="J87" s="13"/>
      <c r="L87" s="8"/>
      <c r="X87" s="14" t="s">
        <v>19</v>
      </c>
      <c r="Y87" s="15">
        <f>SUM(Y84:Y86)</f>
        <v>0</v>
      </c>
    </row>
    <row r="88" spans="2:25" x14ac:dyDescent="0.3">
      <c r="B88" s="1"/>
      <c r="C88" s="1"/>
      <c r="D88" s="1"/>
      <c r="E88" s="1"/>
      <c r="F88" s="1"/>
      <c r="M88" s="8">
        <f t="shared" ref="M88:X88" si="52">SUM(M81:M84)</f>
        <v>28093</v>
      </c>
      <c r="N88" s="8">
        <f t="shared" si="52"/>
        <v>28093</v>
      </c>
      <c r="O88" s="8">
        <f t="shared" si="52"/>
        <v>28093</v>
      </c>
      <c r="P88" s="8">
        <f t="shared" si="52"/>
        <v>28093</v>
      </c>
      <c r="Q88" s="8">
        <f t="shared" si="52"/>
        <v>28093</v>
      </c>
      <c r="R88" s="8">
        <f t="shared" si="52"/>
        <v>28093</v>
      </c>
      <c r="S88" s="8">
        <f t="shared" si="52"/>
        <v>28093</v>
      </c>
      <c r="T88" s="8">
        <f t="shared" si="52"/>
        <v>28093</v>
      </c>
      <c r="U88" s="8">
        <f t="shared" si="52"/>
        <v>28093</v>
      </c>
      <c r="V88" s="8">
        <f t="shared" si="52"/>
        <v>28093</v>
      </c>
      <c r="W88" s="8">
        <f t="shared" si="52"/>
        <v>28093</v>
      </c>
      <c r="X88" s="8">
        <f t="shared" si="52"/>
        <v>28094</v>
      </c>
    </row>
    <row r="89" spans="2:25" x14ac:dyDescent="0.3">
      <c r="B89" s="1"/>
      <c r="C89" s="1"/>
      <c r="D89" s="1"/>
      <c r="E89" s="1"/>
      <c r="F89" s="1"/>
      <c r="M89" s="8">
        <f t="shared" ref="M89:X89" si="53">M80-M88</f>
        <v>0</v>
      </c>
      <c r="N89" s="8">
        <f t="shared" si="53"/>
        <v>0</v>
      </c>
      <c r="O89" s="8">
        <f t="shared" si="53"/>
        <v>0</v>
      </c>
      <c r="P89" s="8">
        <f t="shared" si="53"/>
        <v>0</v>
      </c>
      <c r="Q89" s="8">
        <f t="shared" si="53"/>
        <v>0</v>
      </c>
      <c r="R89" s="8">
        <f t="shared" si="53"/>
        <v>0</v>
      </c>
      <c r="S89" s="8">
        <f t="shared" si="53"/>
        <v>0</v>
      </c>
      <c r="T89" s="8">
        <f t="shared" si="53"/>
        <v>0</v>
      </c>
      <c r="U89" s="8">
        <f t="shared" si="53"/>
        <v>0</v>
      </c>
      <c r="V89" s="8">
        <f t="shared" si="53"/>
        <v>0</v>
      </c>
      <c r="W89" s="8">
        <f t="shared" si="53"/>
        <v>0</v>
      </c>
      <c r="X89" s="8">
        <f t="shared" si="53"/>
        <v>0</v>
      </c>
    </row>
    <row r="90" spans="2:25" x14ac:dyDescent="0.3">
      <c r="B90" s="1"/>
      <c r="C90" s="1"/>
      <c r="D90" s="1"/>
      <c r="E90" s="1"/>
      <c r="F90" s="1"/>
    </row>
    <row r="91" spans="2:25" x14ac:dyDescent="0.3">
      <c r="B91" s="1"/>
      <c r="C91" s="1"/>
      <c r="D91" s="1"/>
      <c r="E91" s="1"/>
      <c r="F91" s="1"/>
    </row>
    <row r="92" spans="2:25" x14ac:dyDescent="0.3">
      <c r="B92" s="1"/>
      <c r="C92" s="1"/>
      <c r="D92" s="1"/>
      <c r="E92" s="1"/>
      <c r="F92" s="1"/>
    </row>
    <row r="93" spans="2:25" x14ac:dyDescent="0.3">
      <c r="B93" s="1"/>
      <c r="C93" s="1"/>
      <c r="D93" s="1"/>
      <c r="E93" s="1"/>
      <c r="F93" s="1"/>
    </row>
    <row r="94" spans="2:25" x14ac:dyDescent="0.3">
      <c r="B94" s="1"/>
      <c r="C94" s="1"/>
      <c r="D94" s="1"/>
      <c r="E94" s="1"/>
      <c r="F94" s="1"/>
    </row>
    <row r="95" spans="2:25" x14ac:dyDescent="0.3">
      <c r="B95" s="1"/>
      <c r="C95" s="1"/>
      <c r="D95" s="1"/>
      <c r="E95" s="1"/>
      <c r="F95" s="1"/>
    </row>
    <row r="96" spans="2:25" x14ac:dyDescent="0.3">
      <c r="B96" s="1"/>
      <c r="C96" s="1"/>
      <c r="D96" s="1"/>
      <c r="E96" s="1"/>
      <c r="F96" s="1"/>
    </row>
    <row r="97" spans="2:6" x14ac:dyDescent="0.3">
      <c r="B97" s="1"/>
      <c r="C97" s="1"/>
      <c r="D97" s="1"/>
      <c r="E97" s="1"/>
      <c r="F97" s="1"/>
    </row>
    <row r="98" spans="2:6" x14ac:dyDescent="0.3">
      <c r="B98" s="1"/>
      <c r="C98" s="1"/>
      <c r="D98" s="1"/>
      <c r="E98" s="1"/>
      <c r="F98" s="1"/>
    </row>
    <row r="99" spans="2:6" x14ac:dyDescent="0.3">
      <c r="B99" s="1"/>
      <c r="C99" s="1"/>
      <c r="D99" s="1"/>
      <c r="E99" s="1"/>
      <c r="F99" s="1"/>
    </row>
    <row r="100" spans="2:6" x14ac:dyDescent="0.3">
      <c r="B100" s="1"/>
      <c r="C100" s="1"/>
      <c r="D100" s="1"/>
      <c r="E100" s="1"/>
      <c r="F100" s="1"/>
    </row>
    <row r="101" spans="2:6" x14ac:dyDescent="0.3">
      <c r="B101" s="1"/>
      <c r="C101" s="1"/>
      <c r="D101" s="1"/>
      <c r="E101" s="1"/>
      <c r="F101" s="1"/>
    </row>
    <row r="151" spans="26:26" x14ac:dyDescent="0.3">
      <c r="Z151" s="1" t="s">
        <v>27</v>
      </c>
    </row>
    <row r="152" spans="26:26" x14ac:dyDescent="0.3">
      <c r="Z152" s="1" t="s">
        <v>30</v>
      </c>
    </row>
    <row r="153" spans="26:26" x14ac:dyDescent="0.3">
      <c r="Z153" s="1" t="s">
        <v>28</v>
      </c>
    </row>
  </sheetData>
  <phoneticPr fontId="3" type="noConversion"/>
  <pageMargins left="0.7" right="0.7" top="0.75" bottom="0.75" header="0.3" footer="0.3"/>
  <pageSetup paperSize="9" scale="28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案件詳情</vt:lpstr>
      <vt:lpstr>主頁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佳鈴</dc:creator>
  <cp:lastModifiedBy>昇金 日</cp:lastModifiedBy>
  <dcterms:created xsi:type="dcterms:W3CDTF">2017-06-22T12:44:48Z</dcterms:created>
  <dcterms:modified xsi:type="dcterms:W3CDTF">2025-12-30T04:07:49Z</dcterms:modified>
</cp:coreProperties>
</file>